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6" tabRatio="806" activeTab="6"/>
  </bookViews>
  <sheets>
    <sheet name="повыш. коэфф.01.01.16" sheetId="1" r:id="rId1"/>
    <sheet name="персональные" sheetId="2" r:id="rId2"/>
    <sheet name="персональные дош.груп." sheetId="3" r:id="rId3"/>
    <sheet name="оклад" sheetId="4" r:id="rId4"/>
    <sheet name="мест." sheetId="5" r:id="rId5"/>
    <sheet name="субв.1" sheetId="6" r:id="rId6"/>
    <sheet name="субв.2" sheetId="7" r:id="rId7"/>
  </sheets>
  <definedNames>
    <definedName name="_xlnm.Print_Area" localSheetId="4">'мест.'!$A$1:$T$66</definedName>
    <definedName name="_xlnm.Print_Area" localSheetId="0">'повыш. коэфф.01.01.16'!$A$1:$W$57</definedName>
    <definedName name="_xlnm.Print_Area" localSheetId="5">'субв.1'!$A$1:$AN$142</definedName>
  </definedNames>
  <calcPr fullCalcOnLoad="1"/>
</workbook>
</file>

<file path=xl/sharedStrings.xml><?xml version="1.0" encoding="utf-8"?>
<sst xmlns="http://schemas.openxmlformats.org/spreadsheetml/2006/main" count="607" uniqueCount="294">
  <si>
    <t>Унифицированная форма № Т-3</t>
  </si>
  <si>
    <t>Утверждена Постановлением</t>
  </si>
  <si>
    <t>Госкомстата России</t>
  </si>
  <si>
    <t>от 05.01.2004 № 1</t>
  </si>
  <si>
    <t>Код</t>
  </si>
  <si>
    <t>наименование организации</t>
  </si>
  <si>
    <t>Номер документа</t>
  </si>
  <si>
    <t>ШТАТНОЕ РАСПИСАНИЕ</t>
  </si>
  <si>
    <t xml:space="preserve">       УТВЕРЖДЕНО</t>
  </si>
  <si>
    <t>Структурное подразделение</t>
  </si>
  <si>
    <t>Должность (специальность,</t>
  </si>
  <si>
    <t>профессия), разряд, класс</t>
  </si>
  <si>
    <t>наимено-вание</t>
  </si>
  <si>
    <t>код</t>
  </si>
  <si>
    <t>(категория) квалификации</t>
  </si>
  <si>
    <t>Итого:</t>
  </si>
  <si>
    <t>Директор</t>
  </si>
  <si>
    <t>( личная подпись)</t>
  </si>
  <si>
    <t>(Ф.И.О.)</t>
  </si>
  <si>
    <t>Ведущий экономист</t>
  </si>
  <si>
    <t>Предмет</t>
  </si>
  <si>
    <t>ФИО</t>
  </si>
  <si>
    <t>нагрузка (1-4 кл.), часов</t>
  </si>
  <si>
    <t>нагрузка (5-11 кл.), часов</t>
  </si>
  <si>
    <t>должностной оклад</t>
  </si>
  <si>
    <t>должностной оклад с повышающим коэффициентом (с учетом нагрузки)</t>
  </si>
  <si>
    <t>опыт работы (стаж)</t>
  </si>
  <si>
    <t>%</t>
  </si>
  <si>
    <t>Хрущева О.М.</t>
  </si>
  <si>
    <t>ВСЕГО:</t>
  </si>
  <si>
    <t>*</t>
  </si>
  <si>
    <t>Математика</t>
  </si>
  <si>
    <t>Кулага М.С.</t>
  </si>
  <si>
    <t>Ин.язык</t>
  </si>
  <si>
    <t>ОБЖ</t>
  </si>
  <si>
    <t>География</t>
  </si>
  <si>
    <t>Ковель В.Б.</t>
  </si>
  <si>
    <t>Каренда Э.Ю.</t>
  </si>
  <si>
    <t>Информатика</t>
  </si>
  <si>
    <t>История, обществознание</t>
  </si>
  <si>
    <t>Профессиональное самоопределение</t>
  </si>
  <si>
    <t>Бублик О.Б.</t>
  </si>
  <si>
    <t>История  Кр.края</t>
  </si>
  <si>
    <t>Рыбель Л.Э.</t>
  </si>
  <si>
    <t>Балуткина Ю.Ю.</t>
  </si>
  <si>
    <t>Физика</t>
  </si>
  <si>
    <t>Химия</t>
  </si>
  <si>
    <t>Биология</t>
  </si>
  <si>
    <t>Технология</t>
  </si>
  <si>
    <t>Физическая культура</t>
  </si>
  <si>
    <t>Дементьева Т.Н.</t>
  </si>
  <si>
    <t>Сидорова М.Н.</t>
  </si>
  <si>
    <t>Колчанова Н.Д.</t>
  </si>
  <si>
    <t>Козлова Ж.В.</t>
  </si>
  <si>
    <t>ИЗО</t>
  </si>
  <si>
    <t>Козлова Ж.Б.</t>
  </si>
  <si>
    <t>Музыка</t>
  </si>
  <si>
    <t>Черчение</t>
  </si>
  <si>
    <t>Начальные классы</t>
  </si>
  <si>
    <t>ИТОГО:</t>
  </si>
  <si>
    <t>№ п/п</t>
  </si>
  <si>
    <t>должность</t>
  </si>
  <si>
    <t>Проверка тетрадей</t>
  </si>
  <si>
    <t>Итого</t>
  </si>
  <si>
    <t>учитель технологии</t>
  </si>
  <si>
    <t>учитель черчения</t>
  </si>
  <si>
    <t>учитель биологии</t>
  </si>
  <si>
    <t>учитель географии</t>
  </si>
  <si>
    <t>учитель физики</t>
  </si>
  <si>
    <t xml:space="preserve">учитель истории </t>
  </si>
  <si>
    <t>учитель музыки</t>
  </si>
  <si>
    <t xml:space="preserve">              Приказом организации от __ __ ____</t>
  </si>
  <si>
    <t>Количество штатных единиц</t>
  </si>
  <si>
    <t>Новая система оплаты труда</t>
  </si>
  <si>
    <t>Гарантированная часть з/пл</t>
  </si>
  <si>
    <t>Стимулирующие выплаты</t>
  </si>
  <si>
    <t>Районный, северн. коэф</t>
  </si>
  <si>
    <t>Итого з/пл              в мес. (гр.14+гр.15+гр.17)</t>
  </si>
  <si>
    <t>минимальный оклад</t>
  </si>
  <si>
    <t>сумма повыш коэф по должности учитель</t>
  </si>
  <si>
    <t>Компенсационные выплаты</t>
  </si>
  <si>
    <t xml:space="preserve"> %</t>
  </si>
  <si>
    <t>персон выплаты (от оклада с нагруз.), руб.</t>
  </si>
  <si>
    <t>персон выплаты (от оклада без нагруз.), руб.</t>
  </si>
  <si>
    <t>Всего (гр.7+гр.8+гр.10+гр.12)</t>
  </si>
  <si>
    <t>За счет средств краевой субвенции</t>
  </si>
  <si>
    <t>Заместитель директора по учебно-воспитательной работе</t>
  </si>
  <si>
    <t>Заместитель директора по воспитательной работе</t>
  </si>
  <si>
    <t>Заведующий столовой</t>
  </si>
  <si>
    <t>Секретарь</t>
  </si>
  <si>
    <t>Повар</t>
  </si>
  <si>
    <t>Подсобный рабочий</t>
  </si>
  <si>
    <t>Социальный педагог</t>
  </si>
  <si>
    <t>Рабочий по комплексному обслуживанию и ремонту зданий</t>
  </si>
  <si>
    <t>Сторож</t>
  </si>
  <si>
    <t>Уборщик служебных помещений</t>
  </si>
  <si>
    <t>Электрик</t>
  </si>
  <si>
    <t>Слесарь-сантехник</t>
  </si>
  <si>
    <t>Учитель математики</t>
  </si>
  <si>
    <t>Учитель иностранного языка</t>
  </si>
  <si>
    <t>Учитель информатики и ИКТ</t>
  </si>
  <si>
    <t>Учитель географии</t>
  </si>
  <si>
    <t>Учитель химии</t>
  </si>
  <si>
    <t>Учитель биологии</t>
  </si>
  <si>
    <t>Учитель технологии</t>
  </si>
  <si>
    <t>Учитель физической культуры</t>
  </si>
  <si>
    <t>Учитель истории и обществознания</t>
  </si>
  <si>
    <t>Учитель физики</t>
  </si>
  <si>
    <t>Учитель изобразительного искусства</t>
  </si>
  <si>
    <t>Учитель начальных классов</t>
  </si>
  <si>
    <t>Учитель музыки</t>
  </si>
  <si>
    <t>Учитель черчения</t>
  </si>
  <si>
    <t>Плановый месячный ФОТ</t>
  </si>
  <si>
    <t>Объём средств на стимулирующие выплаты</t>
  </si>
  <si>
    <t>Водитель автомобиля</t>
  </si>
  <si>
    <t>Педагог дополнительного образования</t>
  </si>
  <si>
    <t>ВСЕГО по школе:</t>
  </si>
  <si>
    <t>Размер оплаты за один час работы для учителей:</t>
  </si>
  <si>
    <t xml:space="preserve">Формула: ФОТ учителей/4,3* количество часов учителей в неделю в соответствии с тарификацией </t>
  </si>
  <si>
    <t>Фонд оплаты учителей (без р/к, с/к)</t>
  </si>
  <si>
    <t>Количество часов учителей в неделю в соответствии с тарификацией</t>
  </si>
  <si>
    <t>Расчет:</t>
  </si>
  <si>
    <t>проверка:</t>
  </si>
  <si>
    <t>О.Б. Бублик</t>
  </si>
  <si>
    <t xml:space="preserve"> </t>
  </si>
  <si>
    <t>Педагог- библиотекарь</t>
  </si>
  <si>
    <t>МБОУ "Тинская СОШ № 3"</t>
  </si>
  <si>
    <t>за счет районного бюджета</t>
  </si>
  <si>
    <t>Старший воспитатель</t>
  </si>
  <si>
    <t>Воспитатель</t>
  </si>
  <si>
    <t>музыкальный руководитель</t>
  </si>
  <si>
    <t>Помощник воспитателя</t>
  </si>
  <si>
    <t>Машинист по стирке белья</t>
  </si>
  <si>
    <t>Осадчая К.А.</t>
  </si>
  <si>
    <t>расчет персональной надбавки от оклада с нагрузкой</t>
  </si>
  <si>
    <t>опыт работы (стаж) (до 5 лет - 5%; от 5 до 10 лет - 15%; свыше 10 лет - 25%)</t>
  </si>
  <si>
    <t>учитель математики</t>
  </si>
  <si>
    <t>учитель русского языка</t>
  </si>
  <si>
    <t>учитель литературы</t>
  </si>
  <si>
    <t>учитель физкультуры</t>
  </si>
  <si>
    <t>Козлова Жанна Витальевна</t>
  </si>
  <si>
    <t>учитель 1 класса</t>
  </si>
  <si>
    <t>Сидорова Марина Николаевна</t>
  </si>
  <si>
    <t>Колчанова Нина Дмитриевна</t>
  </si>
  <si>
    <t>учитель 4 класса</t>
  </si>
  <si>
    <t>секретарь</t>
  </si>
  <si>
    <t>сторож</t>
  </si>
  <si>
    <t>повар</t>
  </si>
  <si>
    <t>вакансия</t>
  </si>
  <si>
    <t>водитель автомобиля</t>
  </si>
  <si>
    <t xml:space="preserve">Учитель русского языка </t>
  </si>
  <si>
    <t>Разновозрастная дошкольная группа</t>
  </si>
  <si>
    <t>нагрузка</t>
  </si>
  <si>
    <t>за опыт работы в занимаемой должности, %</t>
  </si>
  <si>
    <t>Федорович  О.М.</t>
  </si>
  <si>
    <t>ст. воспитатель</t>
  </si>
  <si>
    <t>высшее</t>
  </si>
  <si>
    <t>воспитатель</t>
  </si>
  <si>
    <t>Гоппе А.В.</t>
  </si>
  <si>
    <t>муз. руковод.</t>
  </si>
  <si>
    <t>пом.вос-ля</t>
  </si>
  <si>
    <t>машинист по стир.белья</t>
  </si>
  <si>
    <t xml:space="preserve">Определение оклада заведущего и воспитателям </t>
  </si>
  <si>
    <t>образование</t>
  </si>
  <si>
    <t>Федорович О.М.</t>
  </si>
  <si>
    <t>старший воспитатель</t>
  </si>
  <si>
    <t>Средний размер оклада воспитателям:</t>
  </si>
  <si>
    <t xml:space="preserve">              </t>
  </si>
  <si>
    <t xml:space="preserve">    </t>
  </si>
  <si>
    <t>Педагог-психолог</t>
  </si>
  <si>
    <t>Дворник</t>
  </si>
  <si>
    <t>за работу в сельской местности</t>
  </si>
  <si>
    <t>За счет средств районного бюджета</t>
  </si>
  <si>
    <t>за счет средств краевой субвенции</t>
  </si>
  <si>
    <t>разновозростная дошкольная группа</t>
  </si>
  <si>
    <t>Руководитель ФСК</t>
  </si>
  <si>
    <t>Бублик Екатерина Юрьевна</t>
  </si>
  <si>
    <t>Лебедева Элла Сергеевна</t>
  </si>
  <si>
    <t>Жук Любовь Анатольевна</t>
  </si>
  <si>
    <t>завхоз</t>
  </si>
  <si>
    <t>подсобный работник</t>
  </si>
  <si>
    <t>Бублик Е.Ю.</t>
  </si>
  <si>
    <t>Жук ЛА</t>
  </si>
  <si>
    <t>Суялко Л.Г.</t>
  </si>
  <si>
    <t>Шевченко Д.А.</t>
  </si>
  <si>
    <t>Лебедева Э.С.</t>
  </si>
  <si>
    <t>Лебедева Э.С,</t>
  </si>
  <si>
    <t>Старшая вожатая</t>
  </si>
  <si>
    <t>Жук Л.А.</t>
  </si>
  <si>
    <t>Бублик Е.А.</t>
  </si>
  <si>
    <t>Шевченко Д.А</t>
  </si>
  <si>
    <t>Осадчая К.А</t>
  </si>
  <si>
    <t xml:space="preserve"> Руководитель основ безопасности жизнедеятельности</t>
  </si>
  <si>
    <t xml:space="preserve">Пометова Е.В. </t>
  </si>
  <si>
    <t>Пометова Е.В.</t>
  </si>
  <si>
    <t>С.Ю.Решетова</t>
  </si>
  <si>
    <t>педагог-организатор</t>
  </si>
  <si>
    <t>квалификационная категория</t>
  </si>
  <si>
    <t>повышающий коэ-т за</t>
  </si>
  <si>
    <t>долж.окл.с уч.нагрузки</t>
  </si>
  <si>
    <t>ставки</t>
  </si>
  <si>
    <t>оклад</t>
  </si>
  <si>
    <t>повыш коэф  к мин.окладу (категория)</t>
  </si>
  <si>
    <t>Объем средств на стимулирующие выплаты</t>
  </si>
  <si>
    <t>в том числе плановый месячный ФОТ на стимулирующие выплаты учителям за классное руководство (с р/к, с/к)</t>
  </si>
  <si>
    <t>повыш коэф к мин окладу(категория)</t>
  </si>
  <si>
    <t>повыш коэф к мин окладу(осуществ пед деятельности)</t>
  </si>
  <si>
    <t>в том числе плановый месячный ФОТ на персональные стимулирующие выплаты воспитателям ( с р/к, с/к)</t>
  </si>
  <si>
    <t>повыш коэф  к мин.окладу (осущест пед деят)</t>
  </si>
  <si>
    <t xml:space="preserve">Разновозрастная дошкольная группа </t>
  </si>
  <si>
    <t xml:space="preserve">в том числе плановый месячный ФОТ на прочие выплаты </t>
  </si>
  <si>
    <t>Русский язык, литература</t>
  </si>
  <si>
    <t>Петрович В.А.</t>
  </si>
  <si>
    <t>Определение оклада учителям с 01.09.2015 года</t>
  </si>
  <si>
    <t>Расчет персональной надбавки на 2015-2016 гг.</t>
  </si>
  <si>
    <t>расчет персональной надбавки от минимального оклада с нагрузкой</t>
  </si>
  <si>
    <t>расчет персональной надбавки от минимального оклада (без нагрузки)</t>
  </si>
  <si>
    <t>доплата молодым специалистам</t>
  </si>
  <si>
    <t>заведов инфраструк</t>
  </si>
  <si>
    <t>за ненормиров. Раб.день</t>
  </si>
  <si>
    <t>Бублик Ольга Борисовна</t>
  </si>
  <si>
    <t>учитель обществознания</t>
  </si>
  <si>
    <t>Кулага Мария Семёновна</t>
  </si>
  <si>
    <t>зам.директора по УВР</t>
  </si>
  <si>
    <t>педагог организатор</t>
  </si>
  <si>
    <t>Каренда Эльвира Юрьевна</t>
  </si>
  <si>
    <t>зам.директора по ВР</t>
  </si>
  <si>
    <t>учитель ИЗО</t>
  </si>
  <si>
    <t>Ковель Валентина Борисовна</t>
  </si>
  <si>
    <t>Балуткина Юли Юрьевна</t>
  </si>
  <si>
    <t>Суялко Лиана Геннадьевна</t>
  </si>
  <si>
    <t>учитель иностр. языка</t>
  </si>
  <si>
    <t>Хрущёва Ольга Михайловна</t>
  </si>
  <si>
    <t>учитель информатики</t>
  </si>
  <si>
    <t>Дементьева Татьяна Николаевна</t>
  </si>
  <si>
    <t>соц.педагог</t>
  </si>
  <si>
    <t>педагог-психолог</t>
  </si>
  <si>
    <t>Шевченко Денис Александрович</t>
  </si>
  <si>
    <t>руководитель ОБЖ</t>
  </si>
  <si>
    <t>физкультура</t>
  </si>
  <si>
    <t>Петрович Валентина Александровна</t>
  </si>
  <si>
    <t>ст. вожатая</t>
  </si>
  <si>
    <t>Рыбель Людмила Эйвольтовна</t>
  </si>
  <si>
    <t>педагог-библиотекарь</t>
  </si>
  <si>
    <t>учитель химии</t>
  </si>
  <si>
    <t>учитель англ. языка</t>
  </si>
  <si>
    <t>Осадчая Кристина Анатольевна</t>
  </si>
  <si>
    <t>3класс</t>
  </si>
  <si>
    <t>ОРКСЭ 4 кл</t>
  </si>
  <si>
    <t xml:space="preserve">исследование и проектная деятельность </t>
  </si>
  <si>
    <t>Пометова Елена Валентиновна</t>
  </si>
  <si>
    <t>учитель 2 класса</t>
  </si>
  <si>
    <t>Баскова Виктория Николаевна</t>
  </si>
  <si>
    <t>Картавцева Татьяна Антоновна</t>
  </si>
  <si>
    <t>зав. столовой</t>
  </si>
  <si>
    <t>Филистович Светлана Викторовна</t>
  </si>
  <si>
    <t>Баскова Валентина Ильинична</t>
  </si>
  <si>
    <t>Долгачёва валентина Михайловна</t>
  </si>
  <si>
    <t>Пашкова Любовь Геннадьевна</t>
  </si>
  <si>
    <t>Антонова Светлана Михайловна</t>
  </si>
  <si>
    <t>Вавилова Людмила Владимировна</t>
  </si>
  <si>
    <t>Батуро Татьяна Ивановна</t>
  </si>
  <si>
    <t>Бублик Георгий Владимирович</t>
  </si>
  <si>
    <t>слесарь сантехник</t>
  </si>
  <si>
    <t>Козлов Николай Николаевич</t>
  </si>
  <si>
    <t>Коцапов Александр Гаврилович</t>
  </si>
  <si>
    <t>педагог доп. образования</t>
  </si>
  <si>
    <t>Кулешов Владимир Иванович</t>
  </si>
  <si>
    <t xml:space="preserve">логопед </t>
  </si>
  <si>
    <t>Юферова Г.А.</t>
  </si>
  <si>
    <t>методист</t>
  </si>
  <si>
    <t xml:space="preserve">Всего </t>
  </si>
  <si>
    <t xml:space="preserve">Итого з/пл              в мес. </t>
  </si>
  <si>
    <t>Обучение на дому</t>
  </si>
  <si>
    <t xml:space="preserve">       Штат в количестве   29,83  единиц</t>
  </si>
  <si>
    <t>Муниципальное бюджетное образовательное учреждение "Тинская средняя школа № 3"</t>
  </si>
  <si>
    <t>МБОУ "Тинская СШ № 3"</t>
  </si>
  <si>
    <t>учитель-логопед</t>
  </si>
  <si>
    <t>учитель-дефектолог</t>
  </si>
  <si>
    <t xml:space="preserve">       Штат в дошкольной группе в количестве   3,25      единиц</t>
  </si>
  <si>
    <t>на период     с 01 января 2016 г.</t>
  </si>
  <si>
    <t>персональная выплата</t>
  </si>
  <si>
    <t>в том числе плановый месячный ФОТ на прочие выплаты (водителям)</t>
  </si>
  <si>
    <t xml:space="preserve">       Штат в количестве  15,75      единиц</t>
  </si>
  <si>
    <t xml:space="preserve">       Штат в дошкольной группе в количестве   0,25      единиц</t>
  </si>
  <si>
    <t xml:space="preserve">       Штат в дошкольной группе в количестве   1,0      единиц</t>
  </si>
  <si>
    <t>Стецюк Г.В.</t>
  </si>
  <si>
    <t>Ершова Е.В.</t>
  </si>
  <si>
    <t>директор</t>
  </si>
  <si>
    <t>Стецюк Галина Владимировна</t>
  </si>
  <si>
    <t>Григорьева Ольга Николаевна</t>
  </si>
  <si>
    <t>Балуткина Юлия Юрьевна</t>
  </si>
  <si>
    <t>Воспитатель ГПД</t>
  </si>
  <si>
    <t xml:space="preserve">       Штат в количестве   6,25      единиц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</si>
</sst>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0.0%"/>
    <numFmt numFmtId="174" formatCode="#,##0.000"/>
    <numFmt numFmtId="175" formatCode="0.0"/>
  </numFmts>
  <fonts count="61">
    <font>
      <sz val="10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u val="single"/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Calibri"/>
      <family val="2"/>
    </font>
    <font>
      <sz val="10"/>
      <color indexed="8"/>
      <name val="Arial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Calibri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/>
      <right style="thin"/>
      <top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/>
      <bottom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0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4" fillId="32" borderId="0" applyNumberFormat="0" applyBorder="0" applyAlignment="0" applyProtection="0"/>
  </cellStyleXfs>
  <cellXfs count="526">
    <xf numFmtId="0" fontId="0" fillId="0" borderId="0" xfId="0" applyAlignment="1">
      <alignment/>
    </xf>
    <xf numFmtId="0" fontId="0" fillId="0" borderId="0" xfId="33">
      <alignment/>
      <protection/>
    </xf>
    <xf numFmtId="0" fontId="0" fillId="33" borderId="0" xfId="33" applyFont="1" applyFill="1">
      <alignment/>
      <protection/>
    </xf>
    <xf numFmtId="0" fontId="0" fillId="33" borderId="0" xfId="33" applyFill="1">
      <alignment/>
      <protection/>
    </xf>
    <xf numFmtId="0" fontId="6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2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4" fillId="34" borderId="15" xfId="0" applyFont="1" applyFill="1" applyBorder="1" applyAlignment="1">
      <alignment horizontal="center"/>
    </xf>
    <xf numFmtId="2" fontId="4" fillId="34" borderId="16" xfId="0" applyNumberFormat="1" applyFont="1" applyFill="1" applyBorder="1" applyAlignment="1">
      <alignment horizontal="center"/>
    </xf>
    <xf numFmtId="2" fontId="0" fillId="35" borderId="17" xfId="33" applyNumberFormat="1" applyFill="1" applyBorder="1" applyAlignment="1">
      <alignment horizontal="center" wrapText="1"/>
      <protection/>
    </xf>
    <xf numFmtId="2" fontId="0" fillId="35" borderId="18" xfId="33" applyNumberFormat="1" applyFill="1" applyBorder="1" applyAlignment="1">
      <alignment horizontal="center" wrapText="1"/>
      <protection/>
    </xf>
    <xf numFmtId="0" fontId="0" fillId="35" borderId="10" xfId="33" applyFill="1" applyBorder="1" applyAlignment="1">
      <alignment horizontal="center"/>
      <protection/>
    </xf>
    <xf numFmtId="0" fontId="3" fillId="35" borderId="19" xfId="33" applyNumberFormat="1" applyFont="1" applyFill="1" applyBorder="1" applyAlignment="1">
      <alignment horizontal="center" wrapText="1"/>
      <protection/>
    </xf>
    <xf numFmtId="173" fontId="2" fillId="36" borderId="19" xfId="33" applyNumberFormat="1" applyFont="1" applyFill="1" applyBorder="1" applyAlignment="1">
      <alignment horizontal="center" wrapText="1"/>
      <protection/>
    </xf>
    <xf numFmtId="173" fontId="2" fillId="36" borderId="19" xfId="33" applyNumberFormat="1" applyFont="1" applyFill="1" applyBorder="1" applyAlignment="1">
      <alignment horizontal="center"/>
      <protection/>
    </xf>
    <xf numFmtId="4" fontId="2" fillId="37" borderId="12" xfId="33" applyNumberFormat="1" applyFont="1" applyFill="1" applyBorder="1" applyAlignment="1">
      <alignment horizontal="center"/>
      <protection/>
    </xf>
    <xf numFmtId="173" fontId="2" fillId="37" borderId="12" xfId="33" applyNumberFormat="1" applyFont="1" applyFill="1" applyBorder="1" applyAlignment="1">
      <alignment horizontal="center"/>
      <protection/>
    </xf>
    <xf numFmtId="4" fontId="8" fillId="37" borderId="19" xfId="33" applyNumberFormat="1" applyFont="1" applyFill="1" applyBorder="1" applyAlignment="1">
      <alignment horizontal="center" wrapText="1"/>
      <protection/>
    </xf>
    <xf numFmtId="4" fontId="2" fillId="37" borderId="12" xfId="33" applyNumberFormat="1" applyFont="1" applyFill="1" applyBorder="1" applyAlignment="1">
      <alignment horizontal="center" wrapText="1"/>
      <protection/>
    </xf>
    <xf numFmtId="9" fontId="2" fillId="37" borderId="12" xfId="33" applyNumberFormat="1" applyFont="1" applyFill="1" applyBorder="1" applyAlignment="1">
      <alignment horizontal="center" wrapText="1"/>
      <protection/>
    </xf>
    <xf numFmtId="2" fontId="8" fillId="35" borderId="12" xfId="33" applyNumberFormat="1" applyFont="1" applyFill="1" applyBorder="1" applyAlignment="1">
      <alignment horizontal="center"/>
      <protection/>
    </xf>
    <xf numFmtId="4" fontId="8" fillId="35" borderId="12" xfId="33" applyNumberFormat="1" applyFont="1" applyFill="1" applyBorder="1" applyAlignment="1">
      <alignment horizontal="center"/>
      <protection/>
    </xf>
    <xf numFmtId="0" fontId="8" fillId="35" borderId="12" xfId="33" applyNumberFormat="1" applyFont="1" applyFill="1" applyBorder="1" applyAlignment="1">
      <alignment horizontal="center"/>
      <protection/>
    </xf>
    <xf numFmtId="173" fontId="8" fillId="35" borderId="12" xfId="33" applyNumberFormat="1" applyFont="1" applyFill="1" applyBorder="1" applyAlignment="1">
      <alignment horizontal="center"/>
      <protection/>
    </xf>
    <xf numFmtId="9" fontId="8" fillId="35" borderId="12" xfId="33" applyNumberFormat="1" applyFont="1" applyFill="1" applyBorder="1" applyAlignment="1">
      <alignment horizontal="center"/>
      <protection/>
    </xf>
    <xf numFmtId="0" fontId="2" fillId="35" borderId="12" xfId="33" applyNumberFormat="1" applyFont="1" applyFill="1" applyBorder="1" applyAlignment="1">
      <alignment horizontal="center"/>
      <protection/>
    </xf>
    <xf numFmtId="4" fontId="2" fillId="35" borderId="12" xfId="33" applyNumberFormat="1" applyFont="1" applyFill="1" applyBorder="1" applyAlignment="1">
      <alignment horizontal="center"/>
      <protection/>
    </xf>
    <xf numFmtId="2" fontId="2" fillId="35" borderId="19" xfId="33" applyNumberFormat="1" applyFont="1" applyFill="1" applyBorder="1" applyAlignment="1">
      <alignment horizontal="center" wrapText="1"/>
      <protection/>
    </xf>
    <xf numFmtId="4" fontId="2" fillId="35" borderId="19" xfId="33" applyNumberFormat="1" applyFont="1" applyFill="1" applyBorder="1" applyAlignment="1">
      <alignment horizontal="center"/>
      <protection/>
    </xf>
    <xf numFmtId="173" fontId="2" fillId="35" borderId="12" xfId="33" applyNumberFormat="1" applyFont="1" applyFill="1" applyBorder="1" applyAlignment="1">
      <alignment horizontal="center"/>
      <protection/>
    </xf>
    <xf numFmtId="4" fontId="2" fillId="36" borderId="19" xfId="33" applyNumberFormat="1" applyFont="1" applyFill="1" applyBorder="1" applyAlignment="1">
      <alignment horizontal="center"/>
      <protection/>
    </xf>
    <xf numFmtId="4" fontId="8" fillId="35" borderId="19" xfId="33" applyNumberFormat="1" applyFont="1" applyFill="1" applyBorder="1" applyAlignment="1">
      <alignment horizontal="center" wrapText="1"/>
      <protection/>
    </xf>
    <xf numFmtId="9" fontId="2" fillId="35" borderId="19" xfId="33" applyNumberFormat="1" applyFont="1" applyFill="1" applyBorder="1" applyAlignment="1">
      <alignment horizontal="center" wrapText="1"/>
      <protection/>
    </xf>
    <xf numFmtId="4" fontId="2" fillId="35" borderId="19" xfId="33" applyNumberFormat="1" applyFont="1" applyFill="1" applyBorder="1" applyAlignment="1">
      <alignment horizontal="center" wrapText="1"/>
      <protection/>
    </xf>
    <xf numFmtId="0" fontId="1" fillId="37" borderId="12" xfId="33" applyNumberFormat="1" applyFont="1" applyFill="1" applyBorder="1" applyAlignment="1">
      <alignment horizontal="center"/>
      <protection/>
    </xf>
    <xf numFmtId="0" fontId="3" fillId="35" borderId="12" xfId="33" applyNumberFormat="1" applyFont="1" applyFill="1" applyBorder="1" applyAlignment="1">
      <alignment horizontal="center" wrapText="1"/>
      <protection/>
    </xf>
    <xf numFmtId="0" fontId="3" fillId="36" borderId="12" xfId="33" applyNumberFormat="1" applyFont="1" applyFill="1" applyBorder="1" applyAlignment="1">
      <alignment horizontal="center" wrapText="1"/>
      <protection/>
    </xf>
    <xf numFmtId="0" fontId="1" fillId="35" borderId="12" xfId="33" applyNumberFormat="1" applyFont="1" applyFill="1" applyBorder="1" applyAlignment="1">
      <alignment horizontal="center"/>
      <protection/>
    </xf>
    <xf numFmtId="173" fontId="2" fillId="36" borderId="12" xfId="33" applyNumberFormat="1" applyFont="1" applyFill="1" applyBorder="1" applyAlignment="1">
      <alignment horizontal="center" wrapText="1"/>
      <protection/>
    </xf>
    <xf numFmtId="2" fontId="8" fillId="35" borderId="19" xfId="33" applyNumberFormat="1" applyFont="1" applyFill="1" applyBorder="1" applyAlignment="1">
      <alignment horizontal="center" wrapText="1"/>
      <protection/>
    </xf>
    <xf numFmtId="9" fontId="8" fillId="35" borderId="19" xfId="33" applyNumberFormat="1" applyFont="1" applyFill="1" applyBorder="1" applyAlignment="1">
      <alignment horizontal="center" wrapText="1"/>
      <protection/>
    </xf>
    <xf numFmtId="3" fontId="2" fillId="35" borderId="12" xfId="33" applyNumberFormat="1" applyFont="1" applyFill="1" applyBorder="1" applyAlignment="1">
      <alignment horizontal="center"/>
      <protection/>
    </xf>
    <xf numFmtId="2" fontId="2" fillId="36" borderId="19" xfId="33" applyNumberFormat="1" applyFont="1" applyFill="1" applyBorder="1" applyAlignment="1">
      <alignment horizontal="center" wrapText="1"/>
      <protection/>
    </xf>
    <xf numFmtId="0" fontId="1" fillId="35" borderId="19" xfId="33" applyNumberFormat="1" applyFont="1" applyFill="1" applyBorder="1" applyAlignment="1">
      <alignment horizontal="center"/>
      <protection/>
    </xf>
    <xf numFmtId="0" fontId="2" fillId="35" borderId="19" xfId="33" applyNumberFormat="1" applyFont="1" applyFill="1" applyBorder="1" applyAlignment="1">
      <alignment horizontal="center"/>
      <protection/>
    </xf>
    <xf numFmtId="3" fontId="2" fillId="35" borderId="19" xfId="33" applyNumberFormat="1" applyFont="1" applyFill="1" applyBorder="1" applyAlignment="1">
      <alignment horizontal="center"/>
      <protection/>
    </xf>
    <xf numFmtId="0" fontId="1" fillId="35" borderId="19" xfId="33" applyFont="1" applyFill="1" applyBorder="1" applyAlignment="1">
      <alignment wrapText="1"/>
      <protection/>
    </xf>
    <xf numFmtId="173" fontId="2" fillId="35" borderId="19" xfId="33" applyNumberFormat="1" applyFont="1" applyFill="1" applyBorder="1" applyAlignment="1">
      <alignment wrapText="1"/>
      <protection/>
    </xf>
    <xf numFmtId="173" fontId="2" fillId="36" borderId="12" xfId="33" applyNumberFormat="1" applyFont="1" applyFill="1" applyBorder="1" applyAlignment="1">
      <alignment horizontal="center"/>
      <protection/>
    </xf>
    <xf numFmtId="173" fontId="2" fillId="35" borderId="19" xfId="33" applyNumberFormat="1" applyFont="1" applyFill="1" applyBorder="1" applyAlignment="1">
      <alignment horizontal="center"/>
      <protection/>
    </xf>
    <xf numFmtId="2" fontId="2" fillId="35" borderId="12" xfId="33" applyNumberFormat="1" applyFont="1" applyFill="1" applyBorder="1" applyAlignment="1">
      <alignment horizontal="center" wrapText="1"/>
      <protection/>
    </xf>
    <xf numFmtId="2" fontId="2" fillId="36" borderId="12" xfId="33" applyNumberFormat="1" applyFont="1" applyFill="1" applyBorder="1" applyAlignment="1">
      <alignment horizontal="center" wrapText="1"/>
      <protection/>
    </xf>
    <xf numFmtId="4" fontId="3" fillId="35" borderId="12" xfId="33" applyNumberFormat="1" applyFont="1" applyFill="1" applyBorder="1" applyAlignment="1">
      <alignment horizontal="center" wrapText="1"/>
      <protection/>
    </xf>
    <xf numFmtId="4" fontId="8" fillId="36" borderId="19" xfId="33" applyNumberFormat="1" applyFont="1" applyFill="1" applyBorder="1" applyAlignment="1">
      <alignment horizontal="center"/>
      <protection/>
    </xf>
    <xf numFmtId="2" fontId="8" fillId="35" borderId="11" xfId="0" applyNumberFormat="1" applyFont="1" applyFill="1" applyBorder="1" applyAlignment="1">
      <alignment horizontal="center" wrapText="1"/>
    </xf>
    <xf numFmtId="0" fontId="1" fillId="35" borderId="12" xfId="33" applyFont="1" applyFill="1" applyBorder="1" applyAlignment="1">
      <alignment wrapText="1"/>
      <protection/>
    </xf>
    <xf numFmtId="173" fontId="2" fillId="35" borderId="12" xfId="33" applyNumberFormat="1" applyFont="1" applyFill="1" applyBorder="1" applyAlignment="1">
      <alignment wrapText="1"/>
      <protection/>
    </xf>
    <xf numFmtId="2" fontId="8" fillId="35" borderId="12" xfId="33" applyNumberFormat="1" applyFont="1" applyFill="1" applyBorder="1" applyAlignment="1">
      <alignment horizontal="center" wrapText="1"/>
      <protection/>
    </xf>
    <xf numFmtId="0" fontId="3" fillId="35" borderId="12" xfId="33" applyNumberFormat="1" applyFont="1" applyFill="1" applyBorder="1" applyAlignment="1">
      <alignment horizontal="center"/>
      <protection/>
    </xf>
    <xf numFmtId="0" fontId="3" fillId="35" borderId="19" xfId="33" applyNumberFormat="1" applyFont="1" applyFill="1" applyBorder="1" applyAlignment="1">
      <alignment horizontal="center"/>
      <protection/>
    </xf>
    <xf numFmtId="0" fontId="0" fillId="38" borderId="0" xfId="33" applyFill="1">
      <alignment/>
      <protection/>
    </xf>
    <xf numFmtId="0" fontId="0" fillId="38" borderId="0" xfId="0" applyFill="1" applyAlignment="1">
      <alignment/>
    </xf>
    <xf numFmtId="0" fontId="0" fillId="35" borderId="0" xfId="0" applyFill="1" applyAlignment="1">
      <alignment/>
    </xf>
    <xf numFmtId="0" fontId="0" fillId="0" borderId="10" xfId="0" applyBorder="1" applyAlignment="1">
      <alignment/>
    </xf>
    <xf numFmtId="0" fontId="4" fillId="35" borderId="0" xfId="33" applyFont="1" applyFill="1" applyAlignment="1">
      <alignment horizontal="center"/>
      <protection/>
    </xf>
    <xf numFmtId="0" fontId="0" fillId="35" borderId="17" xfId="33" applyFill="1" applyBorder="1" applyAlignment="1">
      <alignment horizontal="center"/>
      <protection/>
    </xf>
    <xf numFmtId="0" fontId="0" fillId="39" borderId="17" xfId="33" applyFill="1" applyBorder="1" applyAlignment="1">
      <alignment horizontal="center"/>
      <protection/>
    </xf>
    <xf numFmtId="0" fontId="0" fillId="39" borderId="10" xfId="33" applyFill="1" applyBorder="1" applyAlignment="1">
      <alignment horizontal="center"/>
      <protection/>
    </xf>
    <xf numFmtId="0" fontId="0" fillId="35" borderId="20" xfId="33" applyFill="1" applyBorder="1" applyAlignment="1">
      <alignment horizontal="center"/>
      <protection/>
    </xf>
    <xf numFmtId="0" fontId="0" fillId="35" borderId="21" xfId="33" applyFill="1" applyBorder="1" applyAlignment="1">
      <alignment horizontal="center"/>
      <protection/>
    </xf>
    <xf numFmtId="0" fontId="4" fillId="36" borderId="22" xfId="33" applyFont="1" applyFill="1" applyBorder="1" applyAlignment="1">
      <alignment horizontal="center"/>
      <protection/>
    </xf>
    <xf numFmtId="0" fontId="4" fillId="36" borderId="23" xfId="33" applyFont="1" applyFill="1" applyBorder="1" applyAlignment="1">
      <alignment/>
      <protection/>
    </xf>
    <xf numFmtId="4" fontId="4" fillId="36" borderId="22" xfId="33" applyNumberFormat="1" applyFont="1" applyFill="1" applyBorder="1" applyAlignment="1">
      <alignment horizontal="center"/>
      <protection/>
    </xf>
    <xf numFmtId="2" fontId="4" fillId="36" borderId="22" xfId="33" applyNumberFormat="1" applyFont="1" applyFill="1" applyBorder="1" applyAlignment="1">
      <alignment horizontal="center"/>
      <protection/>
    </xf>
    <xf numFmtId="2" fontId="4" fillId="36" borderId="0" xfId="33" applyNumberFormat="1" applyFont="1" applyFill="1" applyBorder="1" applyAlignment="1">
      <alignment horizontal="center"/>
      <protection/>
    </xf>
    <xf numFmtId="0" fontId="0" fillId="35" borderId="21" xfId="33" applyFont="1" applyFill="1" applyBorder="1" applyAlignment="1">
      <alignment horizontal="center"/>
      <protection/>
    </xf>
    <xf numFmtId="9" fontId="2" fillId="35" borderId="12" xfId="33" applyNumberFormat="1" applyFont="1" applyFill="1" applyBorder="1" applyAlignment="1">
      <alignment horizontal="center" wrapText="1"/>
      <protection/>
    </xf>
    <xf numFmtId="0" fontId="1" fillId="35" borderId="0" xfId="33" applyFont="1" applyFill="1">
      <alignment/>
      <protection/>
    </xf>
    <xf numFmtId="0" fontId="0" fillId="35" borderId="0" xfId="33" applyFill="1">
      <alignment/>
      <protection/>
    </xf>
    <xf numFmtId="0" fontId="1" fillId="35" borderId="0" xfId="33" applyFont="1" applyFill="1" applyBorder="1" applyAlignment="1">
      <alignment/>
      <protection/>
    </xf>
    <xf numFmtId="0" fontId="1" fillId="35" borderId="0" xfId="33" applyFont="1" applyFill="1" applyAlignment="1">
      <alignment/>
      <protection/>
    </xf>
    <xf numFmtId="0" fontId="1" fillId="35" borderId="19" xfId="33" applyFont="1" applyFill="1" applyBorder="1" applyAlignment="1">
      <alignment horizontal="center"/>
      <protection/>
    </xf>
    <xf numFmtId="0" fontId="1" fillId="35" borderId="23" xfId="33" applyFont="1" applyFill="1" applyBorder="1">
      <alignment/>
      <protection/>
    </xf>
    <xf numFmtId="0" fontId="1" fillId="35" borderId="23" xfId="33" applyFont="1" applyFill="1" applyBorder="1" applyAlignment="1">
      <alignment/>
      <protection/>
    </xf>
    <xf numFmtId="0" fontId="1" fillId="35" borderId="23" xfId="33" applyFont="1" applyFill="1" applyBorder="1" applyAlignment="1">
      <alignment horizontal="center"/>
      <protection/>
    </xf>
    <xf numFmtId="0" fontId="1" fillId="35" borderId="19" xfId="33" applyFont="1" applyFill="1" applyBorder="1">
      <alignment/>
      <protection/>
    </xf>
    <xf numFmtId="0" fontId="1" fillId="35" borderId="0" xfId="33" applyFont="1" applyFill="1" applyBorder="1">
      <alignment/>
      <protection/>
    </xf>
    <xf numFmtId="0" fontId="1" fillId="35" borderId="0" xfId="33" applyFont="1" applyFill="1" applyAlignment="1">
      <alignment horizontal="right"/>
      <protection/>
    </xf>
    <xf numFmtId="0" fontId="0" fillId="35" borderId="0" xfId="33" applyFill="1" applyAlignment="1">
      <alignment horizontal="center"/>
      <protection/>
    </xf>
    <xf numFmtId="0" fontId="1" fillId="35" borderId="0" xfId="33" applyFont="1" applyFill="1" applyAlignment="1">
      <alignment horizontal="center"/>
      <protection/>
    </xf>
    <xf numFmtId="0" fontId="6" fillId="35" borderId="0" xfId="33" applyFont="1" applyFill="1" applyBorder="1" applyAlignment="1">
      <alignment wrapText="1"/>
      <protection/>
    </xf>
    <xf numFmtId="2" fontId="6" fillId="35" borderId="0" xfId="33" applyNumberFormat="1" applyFont="1" applyFill="1" applyBorder="1" applyAlignment="1">
      <alignment wrapText="1"/>
      <protection/>
    </xf>
    <xf numFmtId="0" fontId="2" fillId="35" borderId="14" xfId="33" applyNumberFormat="1" applyFont="1" applyFill="1" applyBorder="1" applyAlignment="1">
      <alignment horizontal="center"/>
      <protection/>
    </xf>
    <xf numFmtId="0" fontId="2" fillId="35" borderId="21" xfId="33" applyNumberFormat="1" applyFont="1" applyFill="1" applyBorder="1" applyAlignment="1">
      <alignment horizontal="center"/>
      <protection/>
    </xf>
    <xf numFmtId="0" fontId="0" fillId="36" borderId="0" xfId="33" applyFont="1" applyFill="1">
      <alignment/>
      <protection/>
    </xf>
    <xf numFmtId="1" fontId="2" fillId="35" borderId="19" xfId="33" applyNumberFormat="1" applyFont="1" applyFill="1" applyBorder="1" applyAlignment="1">
      <alignment horizontal="center" wrapText="1"/>
      <protection/>
    </xf>
    <xf numFmtId="0" fontId="4" fillId="35" borderId="19" xfId="33" applyFont="1" applyFill="1" applyBorder="1" applyAlignment="1">
      <alignment horizontal="center"/>
      <protection/>
    </xf>
    <xf numFmtId="2" fontId="9" fillId="36" borderId="19" xfId="33" applyNumberFormat="1" applyFont="1" applyFill="1" applyBorder="1" applyAlignment="1">
      <alignment horizontal="center"/>
      <protection/>
    </xf>
    <xf numFmtId="4" fontId="9" fillId="36" borderId="19" xfId="33" applyNumberFormat="1" applyFont="1" applyFill="1" applyBorder="1" applyAlignment="1">
      <alignment horizontal="center"/>
      <protection/>
    </xf>
    <xf numFmtId="4" fontId="3" fillId="35" borderId="19" xfId="33" applyNumberFormat="1" applyFont="1" applyFill="1" applyBorder="1" applyAlignment="1">
      <alignment horizontal="center" wrapText="1" shrinkToFit="1"/>
      <protection/>
    </xf>
    <xf numFmtId="0" fontId="3" fillId="35" borderId="19" xfId="33" applyFont="1" applyFill="1" applyBorder="1" applyAlignment="1">
      <alignment horizontal="left" wrapText="1"/>
      <protection/>
    </xf>
    <xf numFmtId="2" fontId="9" fillId="36" borderId="19" xfId="33" applyNumberFormat="1" applyFont="1" applyFill="1" applyBorder="1" applyAlignment="1">
      <alignment horizontal="left"/>
      <protection/>
    </xf>
    <xf numFmtId="0" fontId="1" fillId="35" borderId="0" xfId="33" applyNumberFormat="1" applyFont="1" applyFill="1" applyBorder="1" applyAlignment="1">
      <alignment horizontal="center"/>
      <protection/>
    </xf>
    <xf numFmtId="0" fontId="2" fillId="35" borderId="0" xfId="33" applyNumberFormat="1" applyFont="1" applyFill="1" applyBorder="1" applyAlignment="1">
      <alignment horizontal="center"/>
      <protection/>
    </xf>
    <xf numFmtId="4" fontId="3" fillId="35" borderId="0" xfId="33" applyNumberFormat="1" applyFont="1" applyFill="1" applyBorder="1" applyAlignment="1">
      <alignment horizontal="center" wrapText="1" shrinkToFit="1"/>
      <protection/>
    </xf>
    <xf numFmtId="4" fontId="8" fillId="35" borderId="24" xfId="33" applyNumberFormat="1" applyFont="1" applyFill="1" applyBorder="1" applyAlignment="1">
      <alignment/>
      <protection/>
    </xf>
    <xf numFmtId="4" fontId="8" fillId="35" borderId="0" xfId="33" applyNumberFormat="1" applyFont="1" applyFill="1" applyBorder="1" applyAlignment="1">
      <alignment/>
      <protection/>
    </xf>
    <xf numFmtId="4" fontId="8" fillId="36" borderId="0" xfId="33" applyNumberFormat="1" applyFont="1" applyFill="1" applyBorder="1" applyAlignment="1">
      <alignment horizontal="center"/>
      <protection/>
    </xf>
    <xf numFmtId="4" fontId="8" fillId="35" borderId="0" xfId="33" applyNumberFormat="1" applyFont="1" applyFill="1" applyBorder="1" applyAlignment="1">
      <alignment horizontal="center"/>
      <protection/>
    </xf>
    <xf numFmtId="0" fontId="0" fillId="35" borderId="0" xfId="33" applyFont="1" applyFill="1">
      <alignment/>
      <protection/>
    </xf>
    <xf numFmtId="0" fontId="1" fillId="35" borderId="0" xfId="33" applyNumberFormat="1" applyFont="1" applyFill="1" applyBorder="1">
      <alignment/>
      <protection/>
    </xf>
    <xf numFmtId="0" fontId="1" fillId="35" borderId="25" xfId="33" applyNumberFormat="1" applyFont="1" applyFill="1" applyBorder="1">
      <alignment/>
      <protection/>
    </xf>
    <xf numFmtId="0" fontId="2" fillId="35" borderId="0" xfId="33" applyNumberFormat="1" applyFont="1" applyFill="1" applyBorder="1">
      <alignment/>
      <protection/>
    </xf>
    <xf numFmtId="0" fontId="1" fillId="35" borderId="0" xfId="33" applyNumberFormat="1" applyFont="1" applyFill="1">
      <alignment/>
      <protection/>
    </xf>
    <xf numFmtId="2" fontId="2" fillId="35" borderId="0" xfId="33" applyNumberFormat="1" applyFont="1" applyFill="1" applyBorder="1" applyAlignment="1">
      <alignment horizontal="center"/>
      <protection/>
    </xf>
    <xf numFmtId="2" fontId="0" fillId="35" borderId="0" xfId="33" applyNumberFormat="1" applyFill="1">
      <alignment/>
      <protection/>
    </xf>
    <xf numFmtId="0" fontId="5" fillId="35" borderId="0" xfId="33" applyFont="1" applyFill="1" applyBorder="1">
      <alignment/>
      <protection/>
    </xf>
    <xf numFmtId="0" fontId="0" fillId="36" borderId="0" xfId="33" applyFill="1">
      <alignment/>
      <protection/>
    </xf>
    <xf numFmtId="0" fontId="0" fillId="35" borderId="0" xfId="33" applyFill="1" applyBorder="1">
      <alignment/>
      <protection/>
    </xf>
    <xf numFmtId="0" fontId="8" fillId="35" borderId="0" xfId="33" applyFont="1" applyFill="1" applyBorder="1">
      <alignment/>
      <protection/>
    </xf>
    <xf numFmtId="0" fontId="1" fillId="35" borderId="0" xfId="33" applyNumberFormat="1" applyFont="1" applyFill="1" applyBorder="1" applyAlignment="1">
      <alignment/>
      <protection/>
    </xf>
    <xf numFmtId="2" fontId="8" fillId="35" borderId="0" xfId="33" applyNumberFormat="1" applyFont="1" applyFill="1" applyBorder="1" applyAlignment="1">
      <alignment horizontal="center"/>
      <protection/>
    </xf>
    <xf numFmtId="0" fontId="0" fillId="35" borderId="10" xfId="33" applyFill="1" applyBorder="1">
      <alignment/>
      <protection/>
    </xf>
    <xf numFmtId="0" fontId="1" fillId="35" borderId="10" xfId="33" applyFont="1" applyFill="1" applyBorder="1" applyAlignment="1">
      <alignment horizontal="center"/>
      <protection/>
    </xf>
    <xf numFmtId="0" fontId="1" fillId="35" borderId="10" xfId="33" applyNumberFormat="1" applyFont="1" applyFill="1" applyBorder="1" applyAlignment="1">
      <alignment horizontal="center"/>
      <protection/>
    </xf>
    <xf numFmtId="2" fontId="2" fillId="35" borderId="10" xfId="33" applyNumberFormat="1" applyFont="1" applyFill="1" applyBorder="1" applyAlignment="1">
      <alignment horizontal="center" wrapText="1"/>
      <protection/>
    </xf>
    <xf numFmtId="173" fontId="2" fillId="35" borderId="10" xfId="33" applyNumberFormat="1" applyFont="1" applyFill="1" applyBorder="1" applyAlignment="1">
      <alignment horizontal="center"/>
      <protection/>
    </xf>
    <xf numFmtId="2" fontId="3" fillId="35" borderId="10" xfId="33" applyNumberFormat="1" applyFont="1" applyFill="1" applyBorder="1" applyAlignment="1">
      <alignment horizontal="center"/>
      <protection/>
    </xf>
    <xf numFmtId="2" fontId="2" fillId="35" borderId="10" xfId="33" applyNumberFormat="1" applyFont="1" applyFill="1" applyBorder="1">
      <alignment/>
      <protection/>
    </xf>
    <xf numFmtId="4" fontId="8" fillId="35" borderId="10" xfId="33" applyNumberFormat="1" applyFont="1" applyFill="1" applyBorder="1" applyAlignment="1">
      <alignment horizontal="center" wrapText="1"/>
      <protection/>
    </xf>
    <xf numFmtId="4" fontId="2" fillId="35" borderId="10" xfId="33" applyNumberFormat="1" applyFont="1" applyFill="1" applyBorder="1" applyAlignment="1">
      <alignment horizontal="center"/>
      <protection/>
    </xf>
    <xf numFmtId="173" fontId="2" fillId="35" borderId="10" xfId="33" applyNumberFormat="1" applyFont="1" applyFill="1" applyBorder="1" applyAlignment="1">
      <alignment horizontal="center" wrapText="1"/>
      <protection/>
    </xf>
    <xf numFmtId="0" fontId="3" fillId="35" borderId="10" xfId="33" applyFont="1" applyFill="1" applyBorder="1" applyAlignment="1">
      <alignment horizontal="center"/>
      <protection/>
    </xf>
    <xf numFmtId="0" fontId="3" fillId="35" borderId="10" xfId="33" applyNumberFormat="1" applyFont="1" applyFill="1" applyBorder="1" applyAlignment="1">
      <alignment horizontal="center"/>
      <protection/>
    </xf>
    <xf numFmtId="0" fontId="4" fillId="35" borderId="10" xfId="33" applyFont="1" applyFill="1" applyBorder="1" applyAlignment="1">
      <alignment horizontal="center"/>
      <protection/>
    </xf>
    <xf numFmtId="4" fontId="3" fillId="35" borderId="10" xfId="33" applyNumberFormat="1" applyFont="1" applyFill="1" applyBorder="1" applyAlignment="1">
      <alignment horizontal="center"/>
      <protection/>
    </xf>
    <xf numFmtId="0" fontId="3" fillId="35" borderId="10" xfId="33" applyFont="1" applyFill="1" applyBorder="1" applyAlignment="1">
      <alignment/>
      <protection/>
    </xf>
    <xf numFmtId="2" fontId="1" fillId="35" borderId="10" xfId="33" applyNumberFormat="1" applyFont="1" applyFill="1" applyBorder="1" applyAlignment="1">
      <alignment horizontal="center"/>
      <protection/>
    </xf>
    <xf numFmtId="9" fontId="1" fillId="35" borderId="10" xfId="33" applyNumberFormat="1" applyFont="1" applyFill="1" applyBorder="1" applyAlignment="1">
      <alignment horizontal="center"/>
      <protection/>
    </xf>
    <xf numFmtId="0" fontId="13" fillId="35" borderId="10" xfId="33" applyFont="1" applyFill="1" applyBorder="1" applyAlignment="1">
      <alignment horizontal="center"/>
      <protection/>
    </xf>
    <xf numFmtId="2" fontId="13" fillId="35" borderId="10" xfId="33" applyNumberFormat="1" applyFont="1" applyFill="1" applyBorder="1" applyAlignment="1">
      <alignment horizontal="center"/>
      <protection/>
    </xf>
    <xf numFmtId="4" fontId="0" fillId="35" borderId="0" xfId="33" applyNumberFormat="1" applyFill="1" applyBorder="1">
      <alignment/>
      <protection/>
    </xf>
    <xf numFmtId="4" fontId="0" fillId="35" borderId="0" xfId="33" applyNumberFormat="1" applyFill="1">
      <alignment/>
      <protection/>
    </xf>
    <xf numFmtId="0" fontId="5" fillId="35" borderId="25" xfId="33" applyFont="1" applyFill="1" applyBorder="1">
      <alignment/>
      <protection/>
    </xf>
    <xf numFmtId="0" fontId="1" fillId="35" borderId="25" xfId="33" applyFont="1" applyFill="1" applyBorder="1">
      <alignment/>
      <protection/>
    </xf>
    <xf numFmtId="0" fontId="8" fillId="35" borderId="19" xfId="33" applyNumberFormat="1" applyFont="1" applyFill="1" applyBorder="1" applyAlignment="1">
      <alignment horizontal="center"/>
      <protection/>
    </xf>
    <xf numFmtId="0" fontId="0" fillId="40" borderId="0" xfId="0" applyFill="1" applyAlignment="1">
      <alignment/>
    </xf>
    <xf numFmtId="9" fontId="0" fillId="35" borderId="17" xfId="33" applyNumberFormat="1" applyFill="1" applyBorder="1" applyAlignment="1">
      <alignment horizontal="center"/>
      <protection/>
    </xf>
    <xf numFmtId="9" fontId="0" fillId="35" borderId="10" xfId="33" applyNumberFormat="1" applyFont="1" applyFill="1" applyBorder="1" applyAlignment="1">
      <alignment horizontal="center"/>
      <protection/>
    </xf>
    <xf numFmtId="9" fontId="0" fillId="35" borderId="26" xfId="33" applyNumberFormat="1" applyFont="1" applyFill="1" applyBorder="1" applyAlignment="1">
      <alignment horizontal="center"/>
      <protection/>
    </xf>
    <xf numFmtId="9" fontId="0" fillId="35" borderId="21" xfId="33" applyNumberFormat="1" applyFont="1" applyFill="1" applyBorder="1" applyAlignment="1">
      <alignment horizontal="center"/>
      <protection/>
    </xf>
    <xf numFmtId="9" fontId="0" fillId="35" borderId="10" xfId="33" applyNumberFormat="1" applyFill="1" applyBorder="1" applyAlignment="1">
      <alignment horizontal="center"/>
      <protection/>
    </xf>
    <xf numFmtId="9" fontId="0" fillId="35" borderId="20" xfId="33" applyNumberFormat="1" applyFill="1" applyBorder="1" applyAlignment="1">
      <alignment horizontal="center"/>
      <protection/>
    </xf>
    <xf numFmtId="4" fontId="3" fillId="35" borderId="19" xfId="33" applyNumberFormat="1" applyFont="1" applyFill="1" applyBorder="1" applyAlignment="1">
      <alignment horizontal="center"/>
      <protection/>
    </xf>
    <xf numFmtId="0" fontId="2" fillId="35" borderId="27" xfId="33" applyNumberFormat="1" applyFont="1" applyFill="1" applyBorder="1" applyAlignment="1">
      <alignment horizontal="center"/>
      <protection/>
    </xf>
    <xf numFmtId="0" fontId="6" fillId="35" borderId="28" xfId="33" applyFont="1" applyFill="1" applyBorder="1" applyAlignment="1">
      <alignment/>
      <protection/>
    </xf>
    <xf numFmtId="0" fontId="6" fillId="35" borderId="29" xfId="33" applyFont="1" applyFill="1" applyBorder="1" applyAlignment="1">
      <alignment/>
      <protection/>
    </xf>
    <xf numFmtId="0" fontId="1" fillId="35" borderId="19" xfId="33" applyFont="1" applyFill="1" applyBorder="1" applyAlignment="1">
      <alignment horizontal="center" wrapText="1"/>
      <protection/>
    </xf>
    <xf numFmtId="0" fontId="2" fillId="35" borderId="0" xfId="33" applyFont="1" applyFill="1" applyBorder="1" applyAlignment="1">
      <alignment horizontal="center"/>
      <protection/>
    </xf>
    <xf numFmtId="0" fontId="1" fillId="35" borderId="30" xfId="33" applyFont="1" applyFill="1" applyBorder="1" applyAlignment="1">
      <alignment horizontal="center"/>
      <protection/>
    </xf>
    <xf numFmtId="0" fontId="1" fillId="35" borderId="12" xfId="33" applyFont="1" applyFill="1" applyBorder="1" applyAlignment="1">
      <alignment horizontal="center" wrapText="1"/>
      <protection/>
    </xf>
    <xf numFmtId="4" fontId="8" fillId="36" borderId="12" xfId="33" applyNumberFormat="1" applyFont="1" applyFill="1" applyBorder="1" applyAlignment="1">
      <alignment horizontal="center"/>
      <protection/>
    </xf>
    <xf numFmtId="2" fontId="9" fillId="35" borderId="10" xfId="33" applyNumberFormat="1" applyFont="1" applyFill="1" applyBorder="1" applyAlignment="1">
      <alignment horizontal="center"/>
      <protection/>
    </xf>
    <xf numFmtId="0" fontId="9" fillId="35" borderId="10" xfId="33" applyFont="1" applyFill="1" applyBorder="1" applyAlignment="1">
      <alignment horizontal="center"/>
      <protection/>
    </xf>
    <xf numFmtId="0" fontId="0" fillId="35" borderId="11" xfId="33" applyFont="1" applyFill="1" applyBorder="1" applyAlignment="1">
      <alignment horizontal="center"/>
      <protection/>
    </xf>
    <xf numFmtId="9" fontId="0" fillId="35" borderId="11" xfId="33" applyNumberFormat="1" applyFont="1" applyFill="1" applyBorder="1" applyAlignment="1">
      <alignment horizontal="center"/>
      <protection/>
    </xf>
    <xf numFmtId="0" fontId="1" fillId="35" borderId="16" xfId="0" applyFont="1" applyFill="1" applyBorder="1" applyAlignment="1">
      <alignment horizontal="center" wrapText="1"/>
    </xf>
    <xf numFmtId="0" fontId="1" fillId="35" borderId="11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55" fillId="0" borderId="10" xfId="0" applyFont="1" applyBorder="1" applyAlignment="1">
      <alignment/>
    </xf>
    <xf numFmtId="0" fontId="55" fillId="0" borderId="10" xfId="0" applyFont="1" applyBorder="1" applyAlignment="1">
      <alignment horizontal="center"/>
    </xf>
    <xf numFmtId="0" fontId="55" fillId="0" borderId="10" xfId="0" applyFont="1" applyFill="1" applyBorder="1" applyAlignment="1">
      <alignment/>
    </xf>
    <xf numFmtId="0" fontId="56" fillId="0" borderId="10" xfId="0" applyFont="1" applyBorder="1" applyAlignment="1">
      <alignment horizontal="center"/>
    </xf>
    <xf numFmtId="0" fontId="57" fillId="0" borderId="10" xfId="0" applyFont="1" applyBorder="1" applyAlignment="1">
      <alignment/>
    </xf>
    <xf numFmtId="0" fontId="6" fillId="35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9" fillId="35" borderId="10" xfId="0" applyFont="1" applyFill="1" applyBorder="1" applyAlignment="1">
      <alignment horizontal="center" wrapText="1"/>
    </xf>
    <xf numFmtId="0" fontId="3" fillId="35" borderId="10" xfId="0" applyFont="1" applyFill="1" applyBorder="1" applyAlignment="1">
      <alignment horizontal="center" wrapText="1"/>
    </xf>
    <xf numFmtId="0" fontId="6" fillId="35" borderId="11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9" fillId="35" borderId="11" xfId="0" applyFont="1" applyFill="1" applyBorder="1" applyAlignment="1">
      <alignment horizontal="center" wrapText="1"/>
    </xf>
    <xf numFmtId="0" fontId="3" fillId="35" borderId="11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 wrapText="1"/>
    </xf>
    <xf numFmtId="0" fontId="1" fillId="35" borderId="10" xfId="0" applyFont="1" applyFill="1" applyBorder="1" applyAlignment="1">
      <alignment horizontal="center"/>
    </xf>
    <xf numFmtId="1" fontId="1" fillId="35" borderId="10" xfId="0" applyNumberFormat="1" applyFont="1" applyFill="1" applyBorder="1" applyAlignment="1">
      <alignment horizontal="center" wrapText="1"/>
    </xf>
    <xf numFmtId="1" fontId="1" fillId="0" borderId="10" xfId="0" applyNumberFormat="1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1" fontId="1" fillId="35" borderId="11" xfId="0" applyNumberFormat="1" applyFont="1" applyFill="1" applyBorder="1" applyAlignment="1">
      <alignment horizontal="center" wrapText="1"/>
    </xf>
    <xf numFmtId="0" fontId="0" fillId="0" borderId="11" xfId="0" applyFill="1" applyBorder="1" applyAlignment="1">
      <alignment horizontal="center"/>
    </xf>
    <xf numFmtId="0" fontId="1" fillId="35" borderId="11" xfId="0" applyFont="1" applyFill="1" applyBorder="1" applyAlignment="1">
      <alignment horizontal="center"/>
    </xf>
    <xf numFmtId="1" fontId="1" fillId="0" borderId="11" xfId="0" applyNumberFormat="1" applyFont="1" applyFill="1" applyBorder="1" applyAlignment="1">
      <alignment horizontal="center" wrapText="1"/>
    </xf>
    <xf numFmtId="1" fontId="1" fillId="0" borderId="10" xfId="0" applyNumberFormat="1" applyFont="1" applyFill="1" applyBorder="1" applyAlignment="1">
      <alignment horizontal="center" wrapText="1"/>
    </xf>
    <xf numFmtId="0" fontId="1" fillId="35" borderId="10" xfId="0" applyFont="1" applyFill="1" applyBorder="1" applyAlignment="1">
      <alignment horizontal="center"/>
    </xf>
    <xf numFmtId="0" fontId="6" fillId="35" borderId="11" xfId="0" applyFont="1" applyFill="1" applyBorder="1" applyAlignment="1">
      <alignment horizontal="center"/>
    </xf>
    <xf numFmtId="1" fontId="6" fillId="35" borderId="10" xfId="0" applyNumberFormat="1" applyFont="1" applyFill="1" applyBorder="1" applyAlignment="1">
      <alignment horizontal="center" wrapText="1"/>
    </xf>
    <xf numFmtId="1" fontId="6" fillId="0" borderId="10" xfId="0" applyNumberFormat="1" applyFont="1" applyFill="1" applyBorder="1" applyAlignment="1">
      <alignment horizontal="center"/>
    </xf>
    <xf numFmtId="0" fontId="58" fillId="0" borderId="10" xfId="0" applyFont="1" applyBorder="1" applyAlignment="1">
      <alignment horizontal="center"/>
    </xf>
    <xf numFmtId="0" fontId="58" fillId="0" borderId="10" xfId="0" applyFont="1" applyBorder="1" applyAlignment="1">
      <alignment/>
    </xf>
    <xf numFmtId="0" fontId="58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55" fillId="0" borderId="10" xfId="0" applyFont="1" applyBorder="1" applyAlignment="1">
      <alignment horizontal="left"/>
    </xf>
    <xf numFmtId="0" fontId="58" fillId="0" borderId="11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55" fillId="0" borderId="10" xfId="0" applyFont="1" applyFill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0" fillId="35" borderId="17" xfId="33" applyFont="1" applyFill="1" applyBorder="1" applyAlignment="1">
      <alignment horizontal="center"/>
      <protection/>
    </xf>
    <xf numFmtId="0" fontId="0" fillId="35" borderId="17" xfId="33" applyFont="1" applyFill="1" applyBorder="1" applyAlignment="1">
      <alignment horizontal="center"/>
      <protection/>
    </xf>
    <xf numFmtId="0" fontId="0" fillId="35" borderId="10" xfId="33" applyFont="1" applyFill="1" applyBorder="1" applyAlignment="1">
      <alignment horizontal="center"/>
      <protection/>
    </xf>
    <xf numFmtId="0" fontId="0" fillId="35" borderId="26" xfId="33" applyFont="1" applyFill="1" applyBorder="1" applyAlignment="1">
      <alignment horizontal="center"/>
      <protection/>
    </xf>
    <xf numFmtId="0" fontId="0" fillId="35" borderId="26" xfId="33" applyFont="1" applyFill="1" applyBorder="1" applyAlignment="1">
      <alignment horizontal="center"/>
      <protection/>
    </xf>
    <xf numFmtId="0" fontId="55" fillId="35" borderId="10" xfId="0" applyFont="1" applyFill="1" applyBorder="1" applyAlignment="1">
      <alignment horizontal="center"/>
    </xf>
    <xf numFmtId="0" fontId="3" fillId="35" borderId="11" xfId="0" applyFont="1" applyFill="1" applyBorder="1" applyAlignment="1">
      <alignment horizontal="center" wrapText="1"/>
    </xf>
    <xf numFmtId="0" fontId="0" fillId="39" borderId="17" xfId="33" applyFont="1" applyFill="1" applyBorder="1" applyAlignment="1">
      <alignment horizontal="center"/>
      <protection/>
    </xf>
    <xf numFmtId="9" fontId="0" fillId="35" borderId="17" xfId="33" applyNumberFormat="1" applyFont="1" applyFill="1" applyBorder="1" applyAlignment="1">
      <alignment horizontal="center"/>
      <protection/>
    </xf>
    <xf numFmtId="0" fontId="0" fillId="39" borderId="10" xfId="33" applyFont="1" applyFill="1" applyBorder="1" applyAlignment="1">
      <alignment horizontal="center"/>
      <protection/>
    </xf>
    <xf numFmtId="0" fontId="0" fillId="39" borderId="11" xfId="33" applyFont="1" applyFill="1" applyBorder="1" applyAlignment="1">
      <alignment horizontal="center"/>
      <protection/>
    </xf>
    <xf numFmtId="9" fontId="0" fillId="35" borderId="17" xfId="33" applyNumberFormat="1" applyFont="1" applyFill="1" applyBorder="1" applyAlignment="1">
      <alignment horizontal="center"/>
      <protection/>
    </xf>
    <xf numFmtId="0" fontId="59" fillId="39" borderId="26" xfId="33" applyFont="1" applyFill="1" applyBorder="1" applyAlignment="1">
      <alignment horizontal="center"/>
      <protection/>
    </xf>
    <xf numFmtId="9" fontId="0" fillId="35" borderId="26" xfId="33" applyNumberFormat="1" applyFont="1" applyFill="1" applyBorder="1" applyAlignment="1">
      <alignment horizontal="center"/>
      <protection/>
    </xf>
    <xf numFmtId="0" fontId="0" fillId="39" borderId="26" xfId="33" applyFill="1" applyBorder="1" applyAlignment="1">
      <alignment horizontal="center"/>
      <protection/>
    </xf>
    <xf numFmtId="0" fontId="0" fillId="39" borderId="21" xfId="33" applyFill="1" applyBorder="1" applyAlignment="1">
      <alignment horizontal="center"/>
      <protection/>
    </xf>
    <xf numFmtId="9" fontId="0" fillId="35" borderId="21" xfId="33" applyNumberFormat="1" applyFill="1" applyBorder="1" applyAlignment="1">
      <alignment horizontal="center"/>
      <protection/>
    </xf>
    <xf numFmtId="0" fontId="0" fillId="39" borderId="20" xfId="33" applyFill="1" applyBorder="1" applyAlignment="1">
      <alignment horizontal="center"/>
      <protection/>
    </xf>
    <xf numFmtId="0" fontId="58" fillId="35" borderId="10" xfId="0" applyFont="1" applyFill="1" applyBorder="1" applyAlignment="1">
      <alignment horizontal="center"/>
    </xf>
    <xf numFmtId="1" fontId="13" fillId="35" borderId="10" xfId="0" applyNumberFormat="1" applyFont="1" applyFill="1" applyBorder="1" applyAlignment="1">
      <alignment horizontal="center"/>
    </xf>
    <xf numFmtId="0" fontId="9" fillId="35" borderId="10" xfId="0" applyFont="1" applyFill="1" applyBorder="1" applyAlignment="1">
      <alignment horizontal="center"/>
    </xf>
    <xf numFmtId="0" fontId="1" fillId="38" borderId="31" xfId="0" applyFont="1" applyFill="1" applyBorder="1" applyAlignment="1">
      <alignment horizontal="center"/>
    </xf>
    <xf numFmtId="0" fontId="1" fillId="38" borderId="10" xfId="0" applyFont="1" applyFill="1" applyBorder="1" applyAlignment="1">
      <alignment horizontal="center"/>
    </xf>
    <xf numFmtId="1" fontId="1" fillId="38" borderId="10" xfId="0" applyNumberFormat="1" applyFont="1" applyFill="1" applyBorder="1" applyAlignment="1">
      <alignment horizontal="center" wrapText="1"/>
    </xf>
    <xf numFmtId="0" fontId="6" fillId="38" borderId="10" xfId="0" applyFont="1" applyFill="1" applyBorder="1" applyAlignment="1">
      <alignment horizontal="center"/>
    </xf>
    <xf numFmtId="1" fontId="6" fillId="38" borderId="10" xfId="0" applyNumberFormat="1" applyFont="1" applyFill="1" applyBorder="1" applyAlignment="1">
      <alignment horizontal="center" wrapText="1"/>
    </xf>
    <xf numFmtId="2" fontId="1" fillId="35" borderId="19" xfId="33" applyNumberFormat="1" applyFont="1" applyFill="1" applyBorder="1" applyAlignment="1">
      <alignment horizontal="center" wrapText="1"/>
      <protection/>
    </xf>
    <xf numFmtId="0" fontId="1" fillId="35" borderId="19" xfId="33" applyNumberFormat="1" applyFont="1" applyFill="1" applyBorder="1" applyAlignment="1">
      <alignment horizontal="center" wrapText="1"/>
      <protection/>
    </xf>
    <xf numFmtId="4" fontId="2" fillId="37" borderId="19" xfId="33" applyNumberFormat="1" applyFont="1" applyFill="1" applyBorder="1" applyAlignment="1">
      <alignment horizontal="center" wrapText="1"/>
      <protection/>
    </xf>
    <xf numFmtId="9" fontId="2" fillId="37" borderId="19" xfId="33" applyNumberFormat="1" applyFont="1" applyFill="1" applyBorder="1" applyAlignment="1">
      <alignment horizontal="center" wrapText="1"/>
      <protection/>
    </xf>
    <xf numFmtId="0" fontId="1" fillId="37" borderId="19" xfId="33" applyNumberFormat="1" applyFont="1" applyFill="1" applyBorder="1" applyAlignment="1">
      <alignment horizontal="center"/>
      <protection/>
    </xf>
    <xf numFmtId="4" fontId="2" fillId="37" borderId="19" xfId="33" applyNumberFormat="1" applyFont="1" applyFill="1" applyBorder="1" applyAlignment="1">
      <alignment horizontal="center"/>
      <protection/>
    </xf>
    <xf numFmtId="173" fontId="2" fillId="37" borderId="19" xfId="33" applyNumberFormat="1" applyFont="1" applyFill="1" applyBorder="1" applyAlignment="1">
      <alignment horizontal="center"/>
      <protection/>
    </xf>
    <xf numFmtId="0" fontId="1" fillId="37" borderId="12" xfId="33" applyNumberFormat="1" applyFont="1" applyFill="1" applyBorder="1" applyAlignment="1">
      <alignment horizontal="center" wrapText="1"/>
      <protection/>
    </xf>
    <xf numFmtId="0" fontId="1" fillId="37" borderId="19" xfId="33" applyNumberFormat="1" applyFont="1" applyFill="1" applyBorder="1" applyAlignment="1">
      <alignment horizontal="center" wrapText="1"/>
      <protection/>
    </xf>
    <xf numFmtId="0" fontId="2" fillId="37" borderId="12" xfId="33" applyNumberFormat="1" applyFont="1" applyFill="1" applyBorder="1" applyAlignment="1">
      <alignment horizontal="center"/>
      <protection/>
    </xf>
    <xf numFmtId="0" fontId="1" fillId="35" borderId="12" xfId="33" applyNumberFormat="1" applyFont="1" applyFill="1" applyBorder="1" applyAlignment="1">
      <alignment horizontal="center" wrapText="1"/>
      <protection/>
    </xf>
    <xf numFmtId="0" fontId="1" fillId="36" borderId="12" xfId="33" applyNumberFormat="1" applyFont="1" applyFill="1" applyBorder="1" applyAlignment="1">
      <alignment horizontal="center" wrapText="1"/>
      <protection/>
    </xf>
    <xf numFmtId="4" fontId="1" fillId="35" borderId="12" xfId="33" applyNumberFormat="1" applyFont="1" applyFill="1" applyBorder="1" applyAlignment="1">
      <alignment horizontal="center" wrapText="1"/>
      <protection/>
    </xf>
    <xf numFmtId="4" fontId="1" fillId="35" borderId="19" xfId="33" applyNumberFormat="1" applyFont="1" applyFill="1" applyBorder="1" applyAlignment="1">
      <alignment horizontal="center" wrapText="1"/>
      <protection/>
    </xf>
    <xf numFmtId="0" fontId="2" fillId="35" borderId="12" xfId="33" applyFont="1" applyFill="1" applyBorder="1" applyAlignment="1">
      <alignment wrapText="1"/>
      <protection/>
    </xf>
    <xf numFmtId="0" fontId="2" fillId="35" borderId="19" xfId="33" applyFont="1" applyFill="1" applyBorder="1" applyAlignment="1">
      <alignment horizontal="center" wrapText="1"/>
      <protection/>
    </xf>
    <xf numFmtId="9" fontId="0" fillId="35" borderId="10" xfId="33" applyNumberFormat="1" applyFont="1" applyFill="1" applyBorder="1" applyAlignment="1">
      <alignment horizontal="center"/>
      <protection/>
    </xf>
    <xf numFmtId="0" fontId="0" fillId="0" borderId="0" xfId="33" applyBorder="1">
      <alignment/>
      <protection/>
    </xf>
    <xf numFmtId="0" fontId="4" fillId="0" borderId="0" xfId="33" applyFont="1" applyBorder="1" applyAlignment="1">
      <alignment horizontal="center"/>
      <protection/>
    </xf>
    <xf numFmtId="2" fontId="9" fillId="35" borderId="0" xfId="33" applyNumberFormat="1" applyFont="1" applyFill="1" applyBorder="1" applyAlignment="1">
      <alignment horizontal="center"/>
      <protection/>
    </xf>
    <xf numFmtId="0" fontId="3" fillId="35" borderId="11" xfId="0" applyFont="1" applyFill="1" applyBorder="1" applyAlignment="1">
      <alignment horizontal="center" wrapText="1"/>
    </xf>
    <xf numFmtId="0" fontId="0" fillId="35" borderId="17" xfId="33" applyFont="1" applyFill="1" applyBorder="1" applyAlignment="1">
      <alignment horizontal="center"/>
      <protection/>
    </xf>
    <xf numFmtId="0" fontId="0" fillId="35" borderId="0" xfId="0" applyFill="1" applyBorder="1" applyAlignment="1">
      <alignment/>
    </xf>
    <xf numFmtId="0" fontId="0" fillId="0" borderId="0" xfId="0" applyBorder="1" applyAlignment="1">
      <alignment/>
    </xf>
    <xf numFmtId="0" fontId="0" fillId="39" borderId="16" xfId="33" applyFill="1" applyBorder="1" applyAlignment="1">
      <alignment horizontal="center"/>
      <protection/>
    </xf>
    <xf numFmtId="0" fontId="0" fillId="35" borderId="16" xfId="33" applyFill="1" applyBorder="1" applyAlignment="1">
      <alignment horizontal="center"/>
      <protection/>
    </xf>
    <xf numFmtId="0" fontId="0" fillId="35" borderId="32" xfId="33" applyFill="1" applyBorder="1" applyAlignment="1">
      <alignment horizontal="center"/>
      <protection/>
    </xf>
    <xf numFmtId="9" fontId="0" fillId="35" borderId="16" xfId="33" applyNumberFormat="1" applyFill="1" applyBorder="1" applyAlignment="1">
      <alignment horizontal="center"/>
      <protection/>
    </xf>
    <xf numFmtId="9" fontId="0" fillId="35" borderId="32" xfId="33" applyNumberFormat="1" applyFill="1" applyBorder="1" applyAlignment="1">
      <alignment horizontal="center"/>
      <protection/>
    </xf>
    <xf numFmtId="2" fontId="0" fillId="35" borderId="32" xfId="33" applyNumberFormat="1" applyFill="1" applyBorder="1" applyAlignment="1">
      <alignment horizontal="center" wrapText="1"/>
      <protection/>
    </xf>
    <xf numFmtId="2" fontId="0" fillId="35" borderId="33" xfId="33" applyNumberFormat="1" applyFill="1" applyBorder="1" applyAlignment="1">
      <alignment horizontal="center" wrapText="1"/>
      <protection/>
    </xf>
    <xf numFmtId="2" fontId="0" fillId="35" borderId="10" xfId="0" applyNumberFormat="1" applyFill="1" applyBorder="1" applyAlignment="1">
      <alignment horizontal="center"/>
    </xf>
    <xf numFmtId="1" fontId="0" fillId="35" borderId="10" xfId="0" applyNumberFormat="1" applyFill="1" applyBorder="1" applyAlignment="1">
      <alignment horizontal="center"/>
    </xf>
    <xf numFmtId="173" fontId="2" fillId="35" borderId="19" xfId="33" applyNumberFormat="1" applyFont="1" applyFill="1" applyBorder="1" applyAlignment="1">
      <alignment horizontal="center" wrapText="1"/>
      <protection/>
    </xf>
    <xf numFmtId="172" fontId="2" fillId="35" borderId="19" xfId="33" applyNumberFormat="1" applyFont="1" applyFill="1" applyBorder="1" applyAlignment="1">
      <alignment wrapText="1"/>
      <protection/>
    </xf>
    <xf numFmtId="173" fontId="8" fillId="35" borderId="19" xfId="33" applyNumberFormat="1" applyFont="1" applyFill="1" applyBorder="1" applyAlignment="1">
      <alignment wrapText="1"/>
      <protection/>
    </xf>
    <xf numFmtId="172" fontId="2" fillId="35" borderId="12" xfId="33" applyNumberFormat="1" applyFont="1" applyFill="1" applyBorder="1" applyAlignment="1">
      <alignment wrapText="1"/>
      <protection/>
    </xf>
    <xf numFmtId="2" fontId="2" fillId="37" borderId="12" xfId="33" applyNumberFormat="1" applyFont="1" applyFill="1" applyBorder="1" applyAlignment="1">
      <alignment horizontal="center" wrapText="1"/>
      <protection/>
    </xf>
    <xf numFmtId="2" fontId="2" fillId="37" borderId="19" xfId="33" applyNumberFormat="1" applyFont="1" applyFill="1" applyBorder="1" applyAlignment="1">
      <alignment horizontal="center" wrapText="1"/>
      <protection/>
    </xf>
    <xf numFmtId="2" fontId="2" fillId="37" borderId="12" xfId="33" applyNumberFormat="1" applyFont="1" applyFill="1" applyBorder="1" applyAlignment="1">
      <alignment horizontal="center"/>
      <protection/>
    </xf>
    <xf numFmtId="2" fontId="2" fillId="37" borderId="19" xfId="33" applyNumberFormat="1" applyFont="1" applyFill="1" applyBorder="1" applyAlignment="1">
      <alignment horizontal="center"/>
      <protection/>
    </xf>
    <xf numFmtId="2" fontId="2" fillId="35" borderId="12" xfId="33" applyNumberFormat="1" applyFont="1" applyFill="1" applyBorder="1" applyAlignment="1">
      <alignment horizontal="center"/>
      <protection/>
    </xf>
    <xf numFmtId="4" fontId="9" fillId="35" borderId="10" xfId="33" applyNumberFormat="1" applyFont="1" applyFill="1" applyBorder="1" applyAlignment="1">
      <alignment horizontal="center"/>
      <protection/>
    </xf>
    <xf numFmtId="0" fontId="0" fillId="35" borderId="10" xfId="33" applyFont="1" applyFill="1" applyBorder="1" applyAlignment="1">
      <alignment horizontal="center"/>
      <protection/>
    </xf>
    <xf numFmtId="0" fontId="1" fillId="35" borderId="0" xfId="33" applyFont="1" applyFill="1" applyBorder="1" applyAlignment="1">
      <alignment horizontal="left" wrapText="1"/>
      <protection/>
    </xf>
    <xf numFmtId="0" fontId="1" fillId="35" borderId="0" xfId="33" applyFont="1" applyFill="1" applyBorder="1" applyAlignment="1">
      <alignment horizontal="center"/>
      <protection/>
    </xf>
    <xf numFmtId="0" fontId="1" fillId="35" borderId="0" xfId="33" applyFont="1" applyFill="1" applyBorder="1" applyAlignment="1">
      <alignment horizontal="left"/>
      <protection/>
    </xf>
    <xf numFmtId="0" fontId="1" fillId="35" borderId="0" xfId="33" applyFont="1" applyFill="1" applyBorder="1" applyAlignment="1">
      <alignment horizontal="left" wrapText="1"/>
      <protection/>
    </xf>
    <xf numFmtId="0" fontId="1" fillId="35" borderId="0" xfId="33" applyFont="1" applyFill="1" applyBorder="1" applyAlignment="1">
      <alignment horizontal="center"/>
      <protection/>
    </xf>
    <xf numFmtId="0" fontId="1" fillId="35" borderId="0" xfId="33" applyFont="1" applyFill="1" applyBorder="1" applyAlignment="1">
      <alignment horizontal="left"/>
      <protection/>
    </xf>
    <xf numFmtId="0" fontId="6" fillId="35" borderId="0" xfId="33" applyFont="1" applyFill="1" applyBorder="1" applyAlignment="1">
      <alignment horizontal="center" wrapText="1"/>
      <protection/>
    </xf>
    <xf numFmtId="0" fontId="7" fillId="35" borderId="10" xfId="33" applyFont="1" applyFill="1" applyBorder="1" applyAlignment="1">
      <alignment horizontal="left"/>
      <protection/>
    </xf>
    <xf numFmtId="0" fontId="0" fillId="35" borderId="10" xfId="33" applyFont="1" applyFill="1" applyBorder="1" applyAlignment="1">
      <alignment horizontal="center"/>
      <protection/>
    </xf>
    <xf numFmtId="0" fontId="1" fillId="35" borderId="0" xfId="33" applyFont="1" applyFill="1" applyBorder="1" applyAlignment="1">
      <alignment horizontal="left"/>
      <protection/>
    </xf>
    <xf numFmtId="0" fontId="6" fillId="35" borderId="0" xfId="33" applyFont="1" applyFill="1" applyBorder="1" applyAlignment="1">
      <alignment horizontal="center" wrapText="1"/>
      <protection/>
    </xf>
    <xf numFmtId="0" fontId="1" fillId="35" borderId="0" xfId="33" applyFont="1" applyFill="1" applyBorder="1" applyAlignment="1">
      <alignment horizontal="center"/>
      <protection/>
    </xf>
    <xf numFmtId="0" fontId="1" fillId="35" borderId="0" xfId="33" applyFont="1" applyFill="1" applyBorder="1" applyAlignment="1">
      <alignment horizontal="left" wrapText="1"/>
      <protection/>
    </xf>
    <xf numFmtId="0" fontId="7" fillId="35" borderId="10" xfId="33" applyFont="1" applyFill="1" applyBorder="1" applyAlignment="1">
      <alignment horizontal="left"/>
      <protection/>
    </xf>
    <xf numFmtId="0" fontId="6" fillId="35" borderId="34" xfId="0" applyFont="1" applyFill="1" applyBorder="1" applyAlignment="1">
      <alignment horizontal="left"/>
    </xf>
    <xf numFmtId="0" fontId="6" fillId="35" borderId="35" xfId="33" applyFont="1" applyFill="1" applyBorder="1" applyAlignment="1">
      <alignment horizontal="left"/>
      <protection/>
    </xf>
    <xf numFmtId="0" fontId="8" fillId="35" borderId="0" xfId="33" applyNumberFormat="1" applyFont="1" applyFill="1" applyBorder="1" applyAlignment="1">
      <alignment horizontal="center"/>
      <protection/>
    </xf>
    <xf numFmtId="0" fontId="0" fillId="35" borderId="0" xfId="33" applyFill="1" applyAlignment="1">
      <alignment wrapText="1"/>
      <protection/>
    </xf>
    <xf numFmtId="0" fontId="3" fillId="35" borderId="15" xfId="33" applyFont="1" applyFill="1" applyBorder="1" applyAlignment="1">
      <alignment/>
      <protection/>
    </xf>
    <xf numFmtId="0" fontId="3" fillId="35" borderId="24" xfId="33" applyFont="1" applyFill="1" applyBorder="1" applyAlignment="1">
      <alignment/>
      <protection/>
    </xf>
    <xf numFmtId="0" fontId="3" fillId="35" borderId="36" xfId="33" applyFont="1" applyFill="1" applyBorder="1" applyAlignment="1">
      <alignment/>
      <protection/>
    </xf>
    <xf numFmtId="0" fontId="3" fillId="35" borderId="0" xfId="33" applyFont="1" applyFill="1" applyBorder="1" applyAlignment="1">
      <alignment horizontal="center" vertical="center" wrapText="1"/>
      <protection/>
    </xf>
    <xf numFmtId="0" fontId="3" fillId="35" borderId="0" xfId="33" applyFont="1" applyFill="1" applyBorder="1" applyAlignment="1">
      <alignment/>
      <protection/>
    </xf>
    <xf numFmtId="0" fontId="7" fillId="35" borderId="0" xfId="33" applyFont="1" applyFill="1" applyBorder="1" applyAlignment="1">
      <alignment horizontal="left"/>
      <protection/>
    </xf>
    <xf numFmtId="4" fontId="3" fillId="35" borderId="0" xfId="33" applyNumberFormat="1" applyFont="1" applyFill="1" applyBorder="1" applyAlignment="1">
      <alignment horizontal="center"/>
      <protection/>
    </xf>
    <xf numFmtId="0" fontId="6" fillId="35" borderId="0" xfId="33" applyFont="1" applyFill="1" applyBorder="1" applyAlignment="1">
      <alignment horizontal="left"/>
      <protection/>
    </xf>
    <xf numFmtId="0" fontId="1" fillId="0" borderId="11" xfId="0" applyFont="1" applyBorder="1" applyAlignment="1">
      <alignment horizontal="center"/>
    </xf>
    <xf numFmtId="0" fontId="1" fillId="35" borderId="10" xfId="0" applyFont="1" applyFill="1" applyBorder="1" applyAlignment="1">
      <alignment horizontal="center" wrapText="1"/>
    </xf>
    <xf numFmtId="0" fontId="1" fillId="35" borderId="11" xfId="0" applyFont="1" applyFill="1" applyBorder="1" applyAlignment="1">
      <alignment horizontal="center" wrapText="1"/>
    </xf>
    <xf numFmtId="0" fontId="3" fillId="35" borderId="11" xfId="0" applyFont="1" applyFill="1" applyBorder="1" applyAlignment="1">
      <alignment horizontal="center" wrapText="1"/>
    </xf>
    <xf numFmtId="0" fontId="55" fillId="0" borderId="10" xfId="0" applyFont="1" applyBorder="1" applyAlignment="1">
      <alignment horizontal="left"/>
    </xf>
    <xf numFmtId="0" fontId="0" fillId="35" borderId="0" xfId="33" applyFill="1" applyAlignment="1">
      <alignment wrapText="1"/>
      <protection/>
    </xf>
    <xf numFmtId="0" fontId="0" fillId="35" borderId="0" xfId="33" applyFill="1" applyBorder="1" applyAlignment="1">
      <alignment wrapText="1"/>
      <protection/>
    </xf>
    <xf numFmtId="0" fontId="0" fillId="35" borderId="37" xfId="33" applyFont="1" applyFill="1" applyBorder="1" applyAlignment="1">
      <alignment horizontal="center"/>
      <protection/>
    </xf>
    <xf numFmtId="0" fontId="0" fillId="35" borderId="20" xfId="33" applyFont="1" applyFill="1" applyBorder="1" applyAlignment="1">
      <alignment horizontal="center"/>
      <protection/>
    </xf>
    <xf numFmtId="0" fontId="0" fillId="35" borderId="28" xfId="0" applyFill="1" applyBorder="1" applyAlignment="1">
      <alignment horizontal="center"/>
    </xf>
    <xf numFmtId="0" fontId="0" fillId="35" borderId="29" xfId="0" applyFill="1" applyBorder="1" applyAlignment="1">
      <alignment horizontal="center"/>
    </xf>
    <xf numFmtId="0" fontId="0" fillId="35" borderId="31" xfId="0" applyFill="1" applyBorder="1" applyAlignment="1">
      <alignment horizontal="center"/>
    </xf>
    <xf numFmtId="0" fontId="14" fillId="35" borderId="0" xfId="0" applyFont="1" applyFill="1" applyAlignment="1">
      <alignment horizontal="center"/>
    </xf>
    <xf numFmtId="0" fontId="0" fillId="35" borderId="38" xfId="33" applyFont="1" applyFill="1" applyBorder="1" applyAlignment="1">
      <alignment horizontal="center"/>
      <protection/>
    </xf>
    <xf numFmtId="0" fontId="0" fillId="35" borderId="26" xfId="33" applyFont="1" applyFill="1" applyBorder="1" applyAlignment="1">
      <alignment horizontal="center"/>
      <protection/>
    </xf>
    <xf numFmtId="0" fontId="0" fillId="35" borderId="39" xfId="33" applyFont="1" applyFill="1" applyBorder="1" applyAlignment="1">
      <alignment horizontal="center"/>
      <protection/>
    </xf>
    <xf numFmtId="0" fontId="0" fillId="35" borderId="10" xfId="33" applyFont="1" applyFill="1" applyBorder="1" applyAlignment="1">
      <alignment horizontal="center"/>
      <protection/>
    </xf>
    <xf numFmtId="0" fontId="0" fillId="35" borderId="10" xfId="33" applyFont="1" applyFill="1" applyBorder="1" applyAlignment="1">
      <alignment horizontal="center"/>
      <protection/>
    </xf>
    <xf numFmtId="0" fontId="0" fillId="35" borderId="40" xfId="33" applyFont="1" applyFill="1" applyBorder="1" applyAlignment="1">
      <alignment horizontal="center"/>
      <protection/>
    </xf>
    <xf numFmtId="0" fontId="0" fillId="35" borderId="17" xfId="33" applyFont="1" applyFill="1" applyBorder="1" applyAlignment="1">
      <alignment horizontal="center"/>
      <protection/>
    </xf>
    <xf numFmtId="0" fontId="0" fillId="35" borderId="40" xfId="33" applyFont="1" applyFill="1" applyBorder="1" applyAlignment="1">
      <alignment horizontal="center"/>
      <protection/>
    </xf>
    <xf numFmtId="0" fontId="0" fillId="35" borderId="17" xfId="33" applyFont="1" applyFill="1" applyBorder="1" applyAlignment="1">
      <alignment horizontal="center"/>
      <protection/>
    </xf>
    <xf numFmtId="0" fontId="0" fillId="35" borderId="41" xfId="33" applyFont="1" applyFill="1" applyBorder="1" applyAlignment="1">
      <alignment horizontal="center"/>
      <protection/>
    </xf>
    <xf numFmtId="0" fontId="0" fillId="35" borderId="30" xfId="33" applyFont="1" applyFill="1" applyBorder="1" applyAlignment="1">
      <alignment horizontal="center"/>
      <protection/>
    </xf>
    <xf numFmtId="0" fontId="0" fillId="35" borderId="42" xfId="33" applyFont="1" applyFill="1" applyBorder="1" applyAlignment="1">
      <alignment horizontal="center"/>
      <protection/>
    </xf>
    <xf numFmtId="0" fontId="0" fillId="35" borderId="27" xfId="33" applyFont="1" applyFill="1" applyBorder="1" applyAlignment="1">
      <alignment horizontal="center"/>
      <protection/>
    </xf>
    <xf numFmtId="0" fontId="0" fillId="35" borderId="30" xfId="33" applyFont="1" applyFill="1" applyBorder="1" applyAlignment="1">
      <alignment horizontal="center"/>
      <protection/>
    </xf>
    <xf numFmtId="0" fontId="0" fillId="35" borderId="42" xfId="33" applyFont="1" applyFill="1" applyBorder="1" applyAlignment="1">
      <alignment horizontal="center"/>
      <protection/>
    </xf>
    <xf numFmtId="0" fontId="0" fillId="35" borderId="27" xfId="33" applyFont="1" applyFill="1" applyBorder="1" applyAlignment="1">
      <alignment horizontal="center"/>
      <protection/>
    </xf>
    <xf numFmtId="0" fontId="4" fillId="35" borderId="0" xfId="33" applyFont="1" applyFill="1" applyBorder="1" applyAlignment="1">
      <alignment horizontal="center"/>
      <protection/>
    </xf>
    <xf numFmtId="0" fontId="0" fillId="35" borderId="19" xfId="33" applyFont="1" applyFill="1" applyBorder="1" applyAlignment="1">
      <alignment horizontal="center"/>
      <protection/>
    </xf>
    <xf numFmtId="0" fontId="0" fillId="35" borderId="19" xfId="33" applyFont="1" applyFill="1" applyBorder="1" applyAlignment="1">
      <alignment horizontal="center" wrapText="1"/>
      <protection/>
    </xf>
    <xf numFmtId="0" fontId="0" fillId="35" borderId="27" xfId="33" applyFont="1" applyFill="1" applyBorder="1" applyAlignment="1">
      <alignment horizontal="center" wrapText="1"/>
      <protection/>
    </xf>
    <xf numFmtId="0" fontId="0" fillId="35" borderId="43" xfId="33" applyFont="1" applyFill="1" applyBorder="1" applyAlignment="1">
      <alignment horizontal="center" wrapText="1"/>
      <protection/>
    </xf>
    <xf numFmtId="0" fontId="0" fillId="35" borderId="24" xfId="33" applyFont="1" applyFill="1" applyBorder="1" applyAlignment="1">
      <alignment horizontal="center" wrapText="1"/>
      <protection/>
    </xf>
    <xf numFmtId="0" fontId="0" fillId="35" borderId="44" xfId="33" applyFont="1" applyFill="1" applyBorder="1" applyAlignment="1">
      <alignment horizontal="center" wrapText="1"/>
      <protection/>
    </xf>
    <xf numFmtId="0" fontId="0" fillId="35" borderId="25" xfId="33" applyFont="1" applyFill="1" applyBorder="1" applyAlignment="1">
      <alignment horizontal="center" wrapText="1"/>
      <protection/>
    </xf>
    <xf numFmtId="0" fontId="0" fillId="37" borderId="19" xfId="33" applyFont="1" applyFill="1" applyBorder="1" applyAlignment="1">
      <alignment horizontal="center" wrapText="1"/>
      <protection/>
    </xf>
    <xf numFmtId="0" fontId="0" fillId="35" borderId="45" xfId="33" applyFont="1" applyFill="1" applyBorder="1" applyAlignment="1">
      <alignment horizontal="center" wrapText="1"/>
      <protection/>
    </xf>
    <xf numFmtId="0" fontId="0" fillId="35" borderId="46" xfId="33" applyFont="1" applyFill="1" applyBorder="1" applyAlignment="1">
      <alignment horizontal="center" wrapText="1"/>
      <protection/>
    </xf>
    <xf numFmtId="0" fontId="0" fillId="35" borderId="47" xfId="33" applyFont="1" applyFill="1" applyBorder="1" applyAlignment="1">
      <alignment horizontal="center" wrapText="1"/>
      <protection/>
    </xf>
    <xf numFmtId="0" fontId="0" fillId="35" borderId="34" xfId="33" applyFont="1" applyFill="1" applyBorder="1" applyAlignment="1">
      <alignment horizontal="center" wrapText="1"/>
      <protection/>
    </xf>
    <xf numFmtId="0" fontId="0" fillId="35" borderId="48" xfId="33" applyFont="1" applyFill="1" applyBorder="1" applyAlignment="1">
      <alignment horizontal="center"/>
      <protection/>
    </xf>
    <xf numFmtId="0" fontId="0" fillId="35" borderId="49" xfId="33" applyFont="1" applyFill="1" applyBorder="1" applyAlignment="1">
      <alignment horizontal="center"/>
      <protection/>
    </xf>
    <xf numFmtId="0" fontId="0" fillId="35" borderId="50" xfId="33" applyFont="1" applyFill="1" applyBorder="1" applyAlignment="1">
      <alignment horizontal="center"/>
      <protection/>
    </xf>
    <xf numFmtId="0" fontId="0" fillId="35" borderId="38" xfId="33" applyFont="1" applyFill="1" applyBorder="1" applyAlignment="1">
      <alignment horizontal="center"/>
      <protection/>
    </xf>
    <xf numFmtId="0" fontId="0" fillId="35" borderId="26" xfId="33" applyFont="1" applyFill="1" applyBorder="1" applyAlignment="1">
      <alignment horizontal="center"/>
      <protection/>
    </xf>
    <xf numFmtId="0" fontId="0" fillId="35" borderId="51" xfId="33" applyFont="1" applyFill="1" applyBorder="1" applyAlignment="1">
      <alignment horizontal="center"/>
      <protection/>
    </xf>
    <xf numFmtId="0" fontId="0" fillId="35" borderId="19" xfId="33" applyFont="1" applyFill="1" applyBorder="1" applyAlignment="1">
      <alignment horizontal="center"/>
      <protection/>
    </xf>
    <xf numFmtId="0" fontId="4" fillId="36" borderId="52" xfId="33" applyFont="1" applyFill="1" applyBorder="1" applyAlignment="1">
      <alignment horizontal="center"/>
      <protection/>
    </xf>
    <xf numFmtId="0" fontId="4" fillId="36" borderId="0" xfId="33" applyFont="1" applyFill="1" applyBorder="1" applyAlignment="1">
      <alignment horizontal="left"/>
      <protection/>
    </xf>
    <xf numFmtId="2" fontId="4" fillId="36" borderId="0" xfId="33" applyNumberFormat="1" applyFont="1" applyFill="1" applyBorder="1" applyAlignment="1">
      <alignment horizontal="center"/>
      <protection/>
    </xf>
    <xf numFmtId="0" fontId="0" fillId="35" borderId="39" xfId="33" applyFont="1" applyFill="1" applyBorder="1" applyAlignment="1">
      <alignment horizontal="center"/>
      <protection/>
    </xf>
    <xf numFmtId="0" fontId="1" fillId="0" borderId="28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16" xfId="0" applyFont="1" applyFill="1" applyBorder="1" applyAlignment="1">
      <alignment horizontal="center"/>
    </xf>
    <xf numFmtId="0" fontId="6" fillId="0" borderId="53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53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1" fillId="0" borderId="28" xfId="0" applyFont="1" applyFill="1" applyBorder="1" applyAlignment="1">
      <alignment horizontal="left"/>
    </xf>
    <xf numFmtId="0" fontId="1" fillId="0" borderId="29" xfId="0" applyFont="1" applyFill="1" applyBorder="1" applyAlignment="1">
      <alignment horizontal="left"/>
    </xf>
    <xf numFmtId="0" fontId="1" fillId="0" borderId="31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28" xfId="0" applyFont="1" applyFill="1" applyBorder="1" applyAlignment="1">
      <alignment horizontal="left" wrapText="1"/>
    </xf>
    <xf numFmtId="0" fontId="1" fillId="0" borderId="29" xfId="0" applyFont="1" applyFill="1" applyBorder="1" applyAlignment="1">
      <alignment horizontal="left" wrapText="1"/>
    </xf>
    <xf numFmtId="0" fontId="1" fillId="0" borderId="31" xfId="0" applyFont="1" applyFill="1" applyBorder="1" applyAlignment="1">
      <alignment horizontal="left" wrapText="1"/>
    </xf>
    <xf numFmtId="0" fontId="1" fillId="0" borderId="53" xfId="0" applyFont="1" applyFill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0" borderId="53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58" fillId="0" borderId="16" xfId="0" applyFont="1" applyBorder="1" applyAlignment="1">
      <alignment horizontal="left"/>
    </xf>
    <xf numFmtId="0" fontId="58" fillId="0" borderId="11" xfId="0" applyFont="1" applyBorder="1" applyAlignment="1">
      <alignment horizontal="left"/>
    </xf>
    <xf numFmtId="0" fontId="55" fillId="0" borderId="28" xfId="0" applyFont="1" applyBorder="1" applyAlignment="1">
      <alignment horizontal="left"/>
    </xf>
    <xf numFmtId="0" fontId="55" fillId="0" borderId="29" xfId="0" applyFont="1" applyBorder="1" applyAlignment="1">
      <alignment horizontal="left"/>
    </xf>
    <xf numFmtId="0" fontId="55" fillId="0" borderId="31" xfId="0" applyFont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6" fillId="0" borderId="29" xfId="0" applyFont="1" applyFill="1" applyBorder="1" applyAlignment="1">
      <alignment horizontal="left"/>
    </xf>
    <xf numFmtId="0" fontId="6" fillId="0" borderId="31" xfId="0" applyFont="1" applyFill="1" applyBorder="1" applyAlignment="1">
      <alignment horizontal="left"/>
    </xf>
    <xf numFmtId="0" fontId="55" fillId="0" borderId="16" xfId="0" applyFont="1" applyBorder="1" applyAlignment="1">
      <alignment horizontal="left"/>
    </xf>
    <xf numFmtId="0" fontId="55" fillId="0" borderId="53" xfId="0" applyFont="1" applyBorder="1" applyAlignment="1">
      <alignment horizontal="left"/>
    </xf>
    <xf numFmtId="0" fontId="55" fillId="0" borderId="11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6" fillId="0" borderId="47" xfId="0" applyFont="1" applyFill="1" applyBorder="1" applyAlignment="1">
      <alignment horizontal="left"/>
    </xf>
    <xf numFmtId="0" fontId="6" fillId="0" borderId="54" xfId="0" applyFont="1" applyFill="1" applyBorder="1" applyAlignment="1">
      <alignment horizontal="left"/>
    </xf>
    <xf numFmtId="0" fontId="6" fillId="0" borderId="34" xfId="0" applyFont="1" applyFill="1" applyBorder="1" applyAlignment="1">
      <alignment horizontal="left"/>
    </xf>
    <xf numFmtId="0" fontId="60" fillId="0" borderId="0" xfId="0" applyFont="1" applyAlignment="1">
      <alignment horizontal="center"/>
    </xf>
    <xf numFmtId="0" fontId="0" fillId="0" borderId="54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55" fillId="0" borderId="10" xfId="0" applyFont="1" applyBorder="1" applyAlignment="1">
      <alignment horizontal="left"/>
    </xf>
    <xf numFmtId="0" fontId="58" fillId="0" borderId="53" xfId="0" applyFont="1" applyBorder="1" applyAlignment="1">
      <alignment horizontal="left"/>
    </xf>
    <xf numFmtId="0" fontId="3" fillId="35" borderId="29" xfId="0" applyFont="1" applyFill="1" applyBorder="1" applyAlignment="1">
      <alignment horizontal="center" wrapText="1"/>
    </xf>
    <xf numFmtId="0" fontId="3" fillId="35" borderId="31" xfId="0" applyFont="1" applyFill="1" applyBorder="1" applyAlignment="1">
      <alignment horizontal="center" wrapText="1"/>
    </xf>
    <xf numFmtId="0" fontId="1" fillId="35" borderId="10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35" borderId="16" xfId="0" applyFont="1" applyFill="1" applyBorder="1" applyAlignment="1">
      <alignment horizontal="center" wrapText="1"/>
    </xf>
    <xf numFmtId="0" fontId="1" fillId="35" borderId="11" xfId="0" applyFont="1" applyFill="1" applyBorder="1" applyAlignment="1">
      <alignment horizontal="center" wrapText="1"/>
    </xf>
    <xf numFmtId="0" fontId="3" fillId="35" borderId="16" xfId="0" applyFont="1" applyFill="1" applyBorder="1" applyAlignment="1">
      <alignment horizontal="center" wrapText="1"/>
    </xf>
    <xf numFmtId="0" fontId="3" fillId="35" borderId="11" xfId="0" applyFont="1" applyFill="1" applyBorder="1" applyAlignment="1">
      <alignment horizontal="center" wrapText="1"/>
    </xf>
    <xf numFmtId="0" fontId="58" fillId="0" borderId="29" xfId="0" applyFont="1" applyBorder="1" applyAlignment="1">
      <alignment horizontal="left"/>
    </xf>
    <xf numFmtId="0" fontId="58" fillId="0" borderId="31" xfId="0" applyFont="1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31" xfId="0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6" fillId="0" borderId="16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0" fontId="1" fillId="0" borderId="47" xfId="0" applyFont="1" applyFill="1" applyBorder="1" applyAlignment="1">
      <alignment horizontal="left"/>
    </xf>
    <xf numFmtId="0" fontId="1" fillId="0" borderId="54" xfId="0" applyFont="1" applyFill="1" applyBorder="1" applyAlignment="1">
      <alignment horizontal="left"/>
    </xf>
    <xf numFmtId="0" fontId="1" fillId="0" borderId="34" xfId="0" applyFont="1" applyFill="1" applyBorder="1" applyAlignment="1">
      <alignment horizontal="left"/>
    </xf>
    <xf numFmtId="0" fontId="6" fillId="0" borderId="28" xfId="0" applyFont="1" applyFill="1" applyBorder="1" applyAlignment="1">
      <alignment horizontal="left"/>
    </xf>
    <xf numFmtId="0" fontId="0" fillId="0" borderId="55" xfId="0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35" borderId="16" xfId="0" applyFont="1" applyFill="1" applyBorder="1" applyAlignment="1">
      <alignment horizontal="center"/>
    </xf>
    <xf numFmtId="0" fontId="1" fillId="35" borderId="53" xfId="0" applyFont="1" applyFill="1" applyBorder="1" applyAlignment="1">
      <alignment horizontal="center"/>
    </xf>
    <xf numFmtId="0" fontId="1" fillId="35" borderId="11" xfId="0" applyFont="1" applyFill="1" applyBorder="1" applyAlignment="1">
      <alignment horizontal="center"/>
    </xf>
    <xf numFmtId="0" fontId="0" fillId="0" borderId="58" xfId="0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4" fillId="0" borderId="41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42" xfId="0" applyFont="1" applyBorder="1" applyAlignment="1">
      <alignment/>
    </xf>
    <xf numFmtId="0" fontId="4" fillId="34" borderId="59" xfId="0" applyFont="1" applyFill="1" applyBorder="1" applyAlignment="1">
      <alignment horizontal="center"/>
    </xf>
    <xf numFmtId="0" fontId="4" fillId="34" borderId="28" xfId="0" applyFont="1" applyFill="1" applyBorder="1" applyAlignment="1">
      <alignment horizontal="center"/>
    </xf>
    <xf numFmtId="0" fontId="4" fillId="34" borderId="29" xfId="0" applyFont="1" applyFill="1" applyBorder="1" applyAlignment="1">
      <alignment horizontal="center"/>
    </xf>
    <xf numFmtId="0" fontId="4" fillId="34" borderId="31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1" fillId="35" borderId="0" xfId="33" applyFont="1" applyFill="1" applyBorder="1" applyAlignment="1">
      <alignment horizontal="left"/>
      <protection/>
    </xf>
    <xf numFmtId="0" fontId="2" fillId="35" borderId="60" xfId="33" applyFont="1" applyFill="1" applyBorder="1" applyAlignment="1">
      <alignment horizontal="center"/>
      <protection/>
    </xf>
    <xf numFmtId="0" fontId="1" fillId="35" borderId="27" xfId="33" applyFont="1" applyFill="1" applyBorder="1" applyAlignment="1">
      <alignment horizontal="center"/>
      <protection/>
    </xf>
    <xf numFmtId="0" fontId="1" fillId="35" borderId="42" xfId="33" applyFont="1" applyFill="1" applyBorder="1" applyAlignment="1">
      <alignment horizontal="center"/>
      <protection/>
    </xf>
    <xf numFmtId="0" fontId="3" fillId="35" borderId="0" xfId="33" applyFont="1" applyFill="1" applyBorder="1" applyAlignment="1">
      <alignment horizontal="center"/>
      <protection/>
    </xf>
    <xf numFmtId="0" fontId="6" fillId="35" borderId="0" xfId="33" applyFont="1" applyFill="1" applyBorder="1" applyAlignment="1">
      <alignment horizontal="center" wrapText="1"/>
      <protection/>
    </xf>
    <xf numFmtId="0" fontId="1" fillId="35" borderId="0" xfId="33" applyFont="1" applyFill="1" applyBorder="1" applyAlignment="1">
      <alignment horizontal="center"/>
      <protection/>
    </xf>
    <xf numFmtId="0" fontId="2" fillId="35" borderId="19" xfId="33" applyNumberFormat="1" applyFont="1" applyFill="1" applyBorder="1" applyAlignment="1">
      <alignment horizontal="center" wrapText="1"/>
      <protection/>
    </xf>
    <xf numFmtId="0" fontId="2" fillId="35" borderId="19" xfId="33" applyNumberFormat="1" applyFont="1" applyFill="1" applyBorder="1" applyAlignment="1">
      <alignment horizontal="center" wrapText="1" shrinkToFit="1"/>
      <protection/>
    </xf>
    <xf numFmtId="0" fontId="8" fillId="35" borderId="19" xfId="33" applyFont="1" applyFill="1" applyBorder="1" applyAlignment="1">
      <alignment horizontal="center" vertical="center" wrapText="1"/>
      <protection/>
    </xf>
    <xf numFmtId="0" fontId="2" fillId="35" borderId="14" xfId="33" applyFont="1" applyFill="1" applyBorder="1" applyAlignment="1">
      <alignment horizontal="center" vertical="center" wrapText="1"/>
      <protection/>
    </xf>
    <xf numFmtId="0" fontId="2" fillId="35" borderId="21" xfId="33" applyFont="1" applyFill="1" applyBorder="1" applyAlignment="1">
      <alignment horizontal="center" vertical="center" wrapText="1"/>
      <protection/>
    </xf>
    <xf numFmtId="0" fontId="2" fillId="35" borderId="12" xfId="33" applyFont="1" applyFill="1" applyBorder="1" applyAlignment="1">
      <alignment horizontal="center" vertical="center" wrapText="1"/>
      <protection/>
    </xf>
    <xf numFmtId="0" fontId="2" fillId="36" borderId="19" xfId="33" applyFont="1" applyFill="1" applyBorder="1" applyAlignment="1">
      <alignment horizontal="center" vertical="center" wrapText="1"/>
      <protection/>
    </xf>
    <xf numFmtId="0" fontId="2" fillId="36" borderId="14" xfId="33" applyFont="1" applyFill="1" applyBorder="1" applyAlignment="1">
      <alignment horizontal="center" vertical="center" wrapText="1"/>
      <protection/>
    </xf>
    <xf numFmtId="0" fontId="2" fillId="36" borderId="12" xfId="33" applyFont="1" applyFill="1" applyBorder="1" applyAlignment="1">
      <alignment horizontal="center" vertical="center" wrapText="1"/>
      <protection/>
    </xf>
    <xf numFmtId="0" fontId="2" fillId="35" borderId="19" xfId="33" applyFont="1" applyFill="1" applyBorder="1" applyAlignment="1">
      <alignment horizontal="center" vertical="center" wrapText="1"/>
      <protection/>
    </xf>
    <xf numFmtId="0" fontId="1" fillId="35" borderId="0" xfId="33" applyFont="1" applyFill="1" applyBorder="1" applyAlignment="1">
      <alignment horizontal="right"/>
      <protection/>
    </xf>
    <xf numFmtId="0" fontId="10" fillId="35" borderId="27" xfId="33" applyNumberFormat="1" applyFont="1" applyFill="1" applyBorder="1" applyAlignment="1">
      <alignment horizontal="center"/>
      <protection/>
    </xf>
    <xf numFmtId="0" fontId="0" fillId="35" borderId="61" xfId="33" applyFill="1" applyBorder="1" applyAlignment="1">
      <alignment wrapText="1"/>
      <protection/>
    </xf>
    <xf numFmtId="0" fontId="0" fillId="35" borderId="0" xfId="33" applyFill="1" applyAlignment="1">
      <alignment wrapText="1"/>
      <protection/>
    </xf>
    <xf numFmtId="0" fontId="6" fillId="35" borderId="28" xfId="0" applyFont="1" applyFill="1" applyBorder="1" applyAlignment="1">
      <alignment horizontal="left"/>
    </xf>
    <xf numFmtId="0" fontId="6" fillId="35" borderId="29" xfId="0" applyFont="1" applyFill="1" applyBorder="1" applyAlignment="1">
      <alignment horizontal="left"/>
    </xf>
    <xf numFmtId="0" fontId="6" fillId="35" borderId="31" xfId="0" applyFont="1" applyFill="1" applyBorder="1" applyAlignment="1">
      <alignment horizontal="left"/>
    </xf>
    <xf numFmtId="0" fontId="6" fillId="35" borderId="62" xfId="33" applyFont="1" applyFill="1" applyBorder="1" applyAlignment="1">
      <alignment horizontal="left"/>
      <protection/>
    </xf>
    <xf numFmtId="0" fontId="6" fillId="35" borderId="63" xfId="33" applyFont="1" applyFill="1" applyBorder="1" applyAlignment="1">
      <alignment horizontal="left"/>
      <protection/>
    </xf>
    <xf numFmtId="0" fontId="6" fillId="35" borderId="64" xfId="33" applyFont="1" applyFill="1" applyBorder="1" applyAlignment="1">
      <alignment horizontal="left"/>
      <protection/>
    </xf>
    <xf numFmtId="0" fontId="1" fillId="35" borderId="25" xfId="33" applyNumberFormat="1" applyFont="1" applyFill="1" applyBorder="1" applyAlignment="1">
      <alignment horizontal="center"/>
      <protection/>
    </xf>
    <xf numFmtId="0" fontId="2" fillId="35" borderId="24" xfId="33" applyNumberFormat="1" applyFont="1" applyFill="1" applyBorder="1" applyAlignment="1">
      <alignment horizontal="center"/>
      <protection/>
    </xf>
    <xf numFmtId="0" fontId="1" fillId="35" borderId="0" xfId="33" applyFont="1" applyFill="1" applyBorder="1" applyAlignment="1">
      <alignment horizontal="left" wrapText="1"/>
      <protection/>
    </xf>
    <xf numFmtId="0" fontId="11" fillId="35" borderId="0" xfId="33" applyFont="1" applyFill="1" applyBorder="1" applyAlignment="1">
      <alignment horizontal="center"/>
      <protection/>
    </xf>
    <xf numFmtId="0" fontId="7" fillId="35" borderId="10" xfId="33" applyFont="1" applyFill="1" applyBorder="1" applyAlignment="1">
      <alignment horizontal="left"/>
      <protection/>
    </xf>
    <xf numFmtId="0" fontId="3" fillId="35" borderId="53" xfId="33" applyFont="1" applyFill="1" applyBorder="1" applyAlignment="1">
      <alignment horizontal="center" vertical="center" wrapText="1"/>
      <protection/>
    </xf>
    <xf numFmtId="0" fontId="8" fillId="35" borderId="0" xfId="33" applyNumberFormat="1" applyFont="1" applyFill="1" applyBorder="1" applyAlignment="1">
      <alignment horizontal="center"/>
      <protection/>
    </xf>
    <xf numFmtId="0" fontId="10" fillId="35" borderId="30" xfId="33" applyNumberFormat="1" applyFont="1" applyFill="1" applyBorder="1" applyAlignment="1">
      <alignment horizontal="center"/>
      <protection/>
    </xf>
    <xf numFmtId="0" fontId="10" fillId="35" borderId="42" xfId="33" applyNumberFormat="1" applyFont="1" applyFill="1" applyBorder="1" applyAlignment="1">
      <alignment horizontal="center"/>
      <protection/>
    </xf>
    <xf numFmtId="0" fontId="6" fillId="35" borderId="15" xfId="33" applyFont="1" applyFill="1" applyBorder="1" applyAlignment="1">
      <alignment horizontal="left"/>
      <protection/>
    </xf>
    <xf numFmtId="2" fontId="9" fillId="36" borderId="27" xfId="33" applyNumberFormat="1" applyFont="1" applyFill="1" applyBorder="1" applyAlignment="1">
      <alignment horizontal="left"/>
      <protection/>
    </xf>
    <xf numFmtId="0" fontId="3" fillId="35" borderId="11" xfId="33" applyFont="1" applyFill="1" applyBorder="1" applyAlignment="1">
      <alignment horizontal="center" vertical="center" wrapText="1"/>
      <protection/>
    </xf>
    <xf numFmtId="0" fontId="3" fillId="35" borderId="29" xfId="33" applyFont="1" applyFill="1" applyBorder="1" applyAlignment="1">
      <alignment horizontal="center"/>
      <protection/>
    </xf>
    <xf numFmtId="0" fontId="1" fillId="35" borderId="28" xfId="0" applyFont="1" applyFill="1" applyBorder="1" applyAlignment="1">
      <alignment horizontal="left"/>
    </xf>
    <xf numFmtId="0" fontId="1" fillId="35" borderId="29" xfId="0" applyFont="1" applyFill="1" applyBorder="1" applyAlignment="1">
      <alignment horizontal="left"/>
    </xf>
    <xf numFmtId="0" fontId="1" fillId="35" borderId="31" xfId="0" applyFont="1" applyFill="1" applyBorder="1" applyAlignment="1">
      <alignment horizontal="left"/>
    </xf>
    <xf numFmtId="0" fontId="3" fillId="35" borderId="14" xfId="33" applyFont="1" applyFill="1" applyBorder="1" applyAlignment="1">
      <alignment horizontal="center"/>
      <protection/>
    </xf>
    <xf numFmtId="0" fontId="3" fillId="35" borderId="16" xfId="33" applyFont="1" applyFill="1" applyBorder="1" applyAlignment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FCCFF"/>
      <rgbColor rgb="00808080"/>
      <rgbColor rgb="009999FF"/>
      <rgbColor rgb="00993366"/>
      <rgbColor rgb="00FFFF66"/>
      <rgbColor rgb="00CCFFFF"/>
      <rgbColor rgb="00660066"/>
      <rgbColor rgb="00FF8080"/>
      <rgbColor rgb="000066CC"/>
      <rgbColor rgb="00F2DCDB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CD5B5"/>
      <rgbColor rgb="003366FF"/>
      <rgbColor rgb="0033CCCC"/>
      <rgbColor rgb="0092D05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3"/>
  <sheetViews>
    <sheetView view="pageBreakPreview" zoomScaleSheetLayoutView="100" zoomScalePageLayoutView="0" workbookViewId="0" topLeftCell="A13">
      <selection activeCell="G27" sqref="G27"/>
    </sheetView>
  </sheetViews>
  <sheetFormatPr defaultColWidth="9.140625" defaultRowHeight="12.75"/>
  <cols>
    <col min="1" max="12" width="9.140625" style="72" customWidth="1"/>
    <col min="13" max="13" width="9.28125" style="72" bestFit="1" customWidth="1"/>
    <col min="14" max="14" width="11.00390625" style="72" bestFit="1" customWidth="1"/>
    <col min="15" max="15" width="12.8515625" style="72" customWidth="1"/>
    <col min="16" max="17" width="9.140625" style="72" customWidth="1"/>
  </cols>
  <sheetData>
    <row r="1" spans="4:15" ht="12.75">
      <c r="D1" s="345" t="s">
        <v>213</v>
      </c>
      <c r="E1" s="345"/>
      <c r="F1" s="345"/>
      <c r="G1" s="345"/>
      <c r="H1" s="345"/>
      <c r="I1" s="345"/>
      <c r="J1" s="345"/>
      <c r="K1" s="345"/>
      <c r="L1" s="345"/>
      <c r="M1" s="345"/>
      <c r="N1" s="74"/>
      <c r="O1" s="74"/>
    </row>
    <row r="3" spans="1:15" ht="12.75" customHeight="1">
      <c r="A3" s="346" t="s">
        <v>20</v>
      </c>
      <c r="B3" s="346"/>
      <c r="C3" s="346"/>
      <c r="D3" s="346" t="s">
        <v>21</v>
      </c>
      <c r="E3" s="346"/>
      <c r="F3" s="346"/>
      <c r="G3" s="347" t="s">
        <v>22</v>
      </c>
      <c r="H3" s="347" t="s">
        <v>23</v>
      </c>
      <c r="I3" s="348" t="s">
        <v>24</v>
      </c>
      <c r="J3" s="354" t="s">
        <v>197</v>
      </c>
      <c r="K3" s="355"/>
      <c r="L3" s="349" t="s">
        <v>198</v>
      </c>
      <c r="M3" s="350"/>
      <c r="N3" s="353" t="s">
        <v>199</v>
      </c>
      <c r="O3" s="353" t="s">
        <v>25</v>
      </c>
    </row>
    <row r="4" spans="1:15" ht="12.75">
      <c r="A4" s="346"/>
      <c r="B4" s="346"/>
      <c r="C4" s="346"/>
      <c r="D4" s="346"/>
      <c r="E4" s="346"/>
      <c r="F4" s="346"/>
      <c r="G4" s="347"/>
      <c r="H4" s="347"/>
      <c r="I4" s="348"/>
      <c r="J4" s="356"/>
      <c r="K4" s="357"/>
      <c r="L4" s="351"/>
      <c r="M4" s="352"/>
      <c r="N4" s="353"/>
      <c r="O4" s="353"/>
    </row>
    <row r="5" spans="1:15" ht="13.5" thickBot="1">
      <c r="A5" s="345"/>
      <c r="B5" s="345"/>
      <c r="C5" s="345"/>
      <c r="D5" s="345"/>
      <c r="E5" s="345"/>
      <c r="F5" s="345"/>
      <c r="G5" s="345"/>
      <c r="H5" s="345"/>
      <c r="I5" s="345"/>
      <c r="J5" s="345"/>
      <c r="K5" s="345"/>
      <c r="L5" s="345"/>
      <c r="M5" s="345"/>
      <c r="N5" s="345"/>
      <c r="O5" s="345"/>
    </row>
    <row r="6" spans="1:15" ht="13.5" customHeight="1" thickBot="1">
      <c r="A6" s="334" t="s">
        <v>211</v>
      </c>
      <c r="B6" s="335"/>
      <c r="C6" s="335"/>
      <c r="D6" s="335" t="s">
        <v>28</v>
      </c>
      <c r="E6" s="335"/>
      <c r="F6" s="335"/>
      <c r="G6" s="75">
        <v>0</v>
      </c>
      <c r="H6" s="76">
        <v>17</v>
      </c>
      <c r="I6" s="75">
        <v>5153</v>
      </c>
      <c r="J6" s="75">
        <f>I6*K6</f>
        <v>1288.25</v>
      </c>
      <c r="K6" s="157">
        <v>0.25</v>
      </c>
      <c r="L6" s="75">
        <f>I6*M6</f>
        <v>1030.6000000000001</v>
      </c>
      <c r="M6" s="157">
        <v>0.2</v>
      </c>
      <c r="N6" s="19">
        <f>I6/18*(G6+H6)</f>
        <v>4866.722222222222</v>
      </c>
      <c r="O6" s="20">
        <f>(I6+J6+L6)/18*(G6+H6)</f>
        <v>7056.747222222223</v>
      </c>
    </row>
    <row r="7" spans="1:17" s="71" customFormat="1" ht="13.5" thickBot="1">
      <c r="A7" s="334" t="s">
        <v>211</v>
      </c>
      <c r="B7" s="335"/>
      <c r="C7" s="335"/>
      <c r="D7" s="333" t="s">
        <v>181</v>
      </c>
      <c r="E7" s="333"/>
      <c r="F7" s="333"/>
      <c r="G7" s="21">
        <v>0</v>
      </c>
      <c r="H7" s="77">
        <v>27</v>
      </c>
      <c r="I7" s="21">
        <v>5153</v>
      </c>
      <c r="J7" s="75">
        <f aca="true" t="shared" si="0" ref="J7:J34">I7*K7</f>
        <v>0</v>
      </c>
      <c r="K7" s="157"/>
      <c r="L7" s="75">
        <f aca="true" t="shared" si="1" ref="L7:L34">I7*M7</f>
        <v>1030.6000000000001</v>
      </c>
      <c r="M7" s="157">
        <v>0.2</v>
      </c>
      <c r="N7" s="19">
        <f aca="true" t="shared" si="2" ref="N7:N34">I7/18*(G7+H7)</f>
        <v>7729.5</v>
      </c>
      <c r="O7" s="20">
        <f aca="true" t="shared" si="3" ref="O7:O34">(I7+J7+L7)/18*(G7+H7)</f>
        <v>9275.400000000001</v>
      </c>
      <c r="P7" s="72"/>
      <c r="Q7" s="72"/>
    </row>
    <row r="8" spans="1:15" ht="13.5" thickBot="1">
      <c r="A8" s="336" t="s">
        <v>31</v>
      </c>
      <c r="B8" s="337"/>
      <c r="C8" s="337"/>
      <c r="D8" s="337" t="s">
        <v>32</v>
      </c>
      <c r="E8" s="337"/>
      <c r="F8" s="337"/>
      <c r="G8" s="221">
        <v>0</v>
      </c>
      <c r="H8" s="227">
        <v>14</v>
      </c>
      <c r="I8" s="221">
        <v>5153</v>
      </c>
      <c r="J8" s="75">
        <f t="shared" si="0"/>
        <v>1288.25</v>
      </c>
      <c r="K8" s="228">
        <v>0.25</v>
      </c>
      <c r="L8" s="75">
        <f t="shared" si="1"/>
        <v>1030.6000000000001</v>
      </c>
      <c r="M8" s="157">
        <v>0.2</v>
      </c>
      <c r="N8" s="19">
        <f t="shared" si="2"/>
        <v>4007.8888888888887</v>
      </c>
      <c r="O8" s="20">
        <f t="shared" si="3"/>
        <v>5811.43888888889</v>
      </c>
    </row>
    <row r="9" spans="1:15" ht="13.5" thickBot="1">
      <c r="A9" s="331" t="s">
        <v>31</v>
      </c>
      <c r="B9" s="332"/>
      <c r="C9" s="332"/>
      <c r="D9" s="332" t="s">
        <v>286</v>
      </c>
      <c r="E9" s="332"/>
      <c r="F9" s="332"/>
      <c r="G9" s="222">
        <v>0</v>
      </c>
      <c r="H9" s="229">
        <v>10</v>
      </c>
      <c r="I9" s="222">
        <v>4523</v>
      </c>
      <c r="J9" s="75">
        <f t="shared" si="0"/>
        <v>0</v>
      </c>
      <c r="K9" s="158"/>
      <c r="L9" s="75">
        <f t="shared" si="1"/>
        <v>904.6</v>
      </c>
      <c r="M9" s="157">
        <v>0.2</v>
      </c>
      <c r="N9" s="19">
        <f t="shared" si="2"/>
        <v>2512.777777777778</v>
      </c>
      <c r="O9" s="20">
        <f t="shared" si="3"/>
        <v>3015.3333333333335</v>
      </c>
    </row>
    <row r="10" spans="1:15" ht="13.5" thickBot="1">
      <c r="A10" s="331" t="s">
        <v>31</v>
      </c>
      <c r="B10" s="332"/>
      <c r="C10" s="332"/>
      <c r="D10" s="332" t="s">
        <v>182</v>
      </c>
      <c r="E10" s="332"/>
      <c r="F10" s="332"/>
      <c r="G10" s="222">
        <v>0</v>
      </c>
      <c r="H10" s="229">
        <v>17</v>
      </c>
      <c r="I10" s="222">
        <v>5153</v>
      </c>
      <c r="J10" s="75">
        <f t="shared" si="0"/>
        <v>0</v>
      </c>
      <c r="K10" s="158"/>
      <c r="L10" s="75">
        <f t="shared" si="1"/>
        <v>1030.6000000000001</v>
      </c>
      <c r="M10" s="157">
        <v>0.2</v>
      </c>
      <c r="N10" s="19">
        <f t="shared" si="2"/>
        <v>4866.722222222222</v>
      </c>
      <c r="O10" s="20">
        <f t="shared" si="3"/>
        <v>5840.0666666666675</v>
      </c>
    </row>
    <row r="11" spans="1:15" ht="13.5" thickBot="1">
      <c r="A11" s="334" t="s">
        <v>33</v>
      </c>
      <c r="B11" s="335"/>
      <c r="C11" s="335"/>
      <c r="D11" s="358" t="s">
        <v>185</v>
      </c>
      <c r="E11" s="359"/>
      <c r="F11" s="360"/>
      <c r="G11" s="174"/>
      <c r="H11" s="230">
        <v>9</v>
      </c>
      <c r="I11" s="174">
        <v>5153</v>
      </c>
      <c r="J11" s="75"/>
      <c r="K11" s="175"/>
      <c r="L11" s="75">
        <f t="shared" si="1"/>
        <v>1030.6000000000001</v>
      </c>
      <c r="M11" s="157">
        <v>0.2</v>
      </c>
      <c r="N11" s="19">
        <f t="shared" si="2"/>
        <v>2576.5</v>
      </c>
      <c r="O11" s="20">
        <f t="shared" si="3"/>
        <v>3091.8</v>
      </c>
    </row>
    <row r="12" spans="1:15" ht="13.5" thickBot="1">
      <c r="A12" s="334" t="s">
        <v>33</v>
      </c>
      <c r="B12" s="335"/>
      <c r="C12" s="335"/>
      <c r="D12" s="335" t="s">
        <v>183</v>
      </c>
      <c r="E12" s="335"/>
      <c r="F12" s="335"/>
      <c r="G12" s="76">
        <v>6</v>
      </c>
      <c r="H12" s="76">
        <v>12</v>
      </c>
      <c r="I12" s="75">
        <v>5153</v>
      </c>
      <c r="J12" s="75">
        <f t="shared" si="0"/>
        <v>515.3000000000001</v>
      </c>
      <c r="K12" s="231">
        <v>0.1</v>
      </c>
      <c r="L12" s="75">
        <f t="shared" si="1"/>
        <v>1030.6000000000001</v>
      </c>
      <c r="M12" s="157">
        <v>0.2</v>
      </c>
      <c r="N12" s="19">
        <f t="shared" si="2"/>
        <v>5153</v>
      </c>
      <c r="O12" s="20">
        <f t="shared" si="3"/>
        <v>6698.900000000001</v>
      </c>
    </row>
    <row r="13" spans="1:15" ht="13.5" thickBot="1">
      <c r="A13" s="361" t="s">
        <v>34</v>
      </c>
      <c r="B13" s="361"/>
      <c r="C13" s="361"/>
      <c r="D13" s="362" t="s">
        <v>184</v>
      </c>
      <c r="E13" s="362"/>
      <c r="F13" s="362"/>
      <c r="G13" s="224">
        <v>0</v>
      </c>
      <c r="H13" s="232">
        <v>9</v>
      </c>
      <c r="I13" s="224">
        <v>5153</v>
      </c>
      <c r="J13" s="75">
        <f t="shared" si="0"/>
        <v>772.9499999999999</v>
      </c>
      <c r="K13" s="233">
        <v>0.15</v>
      </c>
      <c r="L13" s="75">
        <f t="shared" si="1"/>
        <v>1030.6000000000001</v>
      </c>
      <c r="M13" s="157">
        <v>0.2</v>
      </c>
      <c r="N13" s="19">
        <f t="shared" si="2"/>
        <v>2576.5</v>
      </c>
      <c r="O13" s="20">
        <f>(I13+J13+L13)/9*(G13+H13)</f>
        <v>6956.55</v>
      </c>
    </row>
    <row r="14" spans="1:15" ht="13.5" thickBot="1">
      <c r="A14" s="329" t="s">
        <v>35</v>
      </c>
      <c r="B14" s="329"/>
      <c r="C14" s="329"/>
      <c r="D14" s="330" t="s">
        <v>36</v>
      </c>
      <c r="E14" s="330"/>
      <c r="F14" s="330"/>
      <c r="G14" s="223">
        <v>0</v>
      </c>
      <c r="H14" s="234">
        <v>9</v>
      </c>
      <c r="I14" s="223">
        <v>5153</v>
      </c>
      <c r="J14" s="75">
        <f t="shared" si="0"/>
        <v>1288.25</v>
      </c>
      <c r="K14" s="159">
        <v>0.25</v>
      </c>
      <c r="L14" s="75">
        <f t="shared" si="1"/>
        <v>1030.6000000000001</v>
      </c>
      <c r="M14" s="157">
        <v>0.2</v>
      </c>
      <c r="N14" s="19">
        <f t="shared" si="2"/>
        <v>2576.5</v>
      </c>
      <c r="O14" s="20">
        <f t="shared" si="3"/>
        <v>3735.925</v>
      </c>
    </row>
    <row r="15" spans="1:15" ht="13.5" thickBot="1">
      <c r="A15" s="329" t="s">
        <v>35</v>
      </c>
      <c r="B15" s="329"/>
      <c r="C15" s="329"/>
      <c r="D15" s="344" t="s">
        <v>186</v>
      </c>
      <c r="E15" s="339"/>
      <c r="F15" s="340"/>
      <c r="G15" s="85">
        <v>0</v>
      </c>
      <c r="H15" s="235">
        <v>1</v>
      </c>
      <c r="I15" s="223">
        <v>5153</v>
      </c>
      <c r="J15" s="75">
        <f t="shared" si="0"/>
        <v>0</v>
      </c>
      <c r="K15" s="160">
        <v>0</v>
      </c>
      <c r="L15" s="75">
        <f t="shared" si="1"/>
        <v>1030.6000000000001</v>
      </c>
      <c r="M15" s="157">
        <v>0.2</v>
      </c>
      <c r="N15" s="19">
        <f t="shared" si="2"/>
        <v>286.27777777777777</v>
      </c>
      <c r="O15" s="20">
        <f t="shared" si="3"/>
        <v>343.53333333333336</v>
      </c>
    </row>
    <row r="16" spans="1:15" ht="13.5" thickBot="1">
      <c r="A16" s="329" t="s">
        <v>38</v>
      </c>
      <c r="B16" s="329"/>
      <c r="C16" s="329"/>
      <c r="D16" s="330" t="s">
        <v>286</v>
      </c>
      <c r="E16" s="330"/>
      <c r="F16" s="330"/>
      <c r="G16" s="223">
        <v>0</v>
      </c>
      <c r="H16" s="234">
        <v>6</v>
      </c>
      <c r="I16" s="223">
        <v>4523</v>
      </c>
      <c r="J16" s="75">
        <f t="shared" si="0"/>
        <v>0</v>
      </c>
      <c r="K16" s="159">
        <v>0</v>
      </c>
      <c r="L16" s="75">
        <f t="shared" si="1"/>
        <v>904.6</v>
      </c>
      <c r="M16" s="157">
        <v>0.2</v>
      </c>
      <c r="N16" s="19">
        <f t="shared" si="2"/>
        <v>1507.6666666666665</v>
      </c>
      <c r="O16" s="20">
        <f t="shared" si="3"/>
        <v>1809.2000000000003</v>
      </c>
    </row>
    <row r="17" spans="1:15" ht="13.5" thickBot="1">
      <c r="A17" s="331" t="s">
        <v>40</v>
      </c>
      <c r="B17" s="332"/>
      <c r="C17" s="332"/>
      <c r="D17" s="332" t="s">
        <v>41</v>
      </c>
      <c r="E17" s="332"/>
      <c r="F17" s="332"/>
      <c r="G17" s="21">
        <v>0</v>
      </c>
      <c r="H17" s="77">
        <v>1</v>
      </c>
      <c r="I17" s="21">
        <v>5153</v>
      </c>
      <c r="J17" s="75">
        <f t="shared" si="0"/>
        <v>772.9499999999999</v>
      </c>
      <c r="K17" s="161">
        <v>0.15</v>
      </c>
      <c r="L17" s="75">
        <f t="shared" si="1"/>
        <v>1030.6000000000001</v>
      </c>
      <c r="M17" s="157">
        <v>0.2</v>
      </c>
      <c r="N17" s="19">
        <f t="shared" si="2"/>
        <v>286.27777777777777</v>
      </c>
      <c r="O17" s="20">
        <f t="shared" si="3"/>
        <v>386.475</v>
      </c>
    </row>
    <row r="18" spans="1:15" ht="13.5" thickBot="1">
      <c r="A18" s="331" t="s">
        <v>42</v>
      </c>
      <c r="B18" s="332"/>
      <c r="C18" s="332"/>
      <c r="D18" s="333" t="s">
        <v>43</v>
      </c>
      <c r="E18" s="333"/>
      <c r="F18" s="333"/>
      <c r="G18" s="21">
        <v>0</v>
      </c>
      <c r="H18" s="77">
        <v>2</v>
      </c>
      <c r="I18" s="21">
        <v>5153</v>
      </c>
      <c r="J18" s="75">
        <f t="shared" si="0"/>
        <v>0</v>
      </c>
      <c r="K18" s="161"/>
      <c r="L18" s="75">
        <f t="shared" si="1"/>
        <v>1030.6000000000001</v>
      </c>
      <c r="M18" s="157">
        <v>0.2</v>
      </c>
      <c r="N18" s="19">
        <f t="shared" si="2"/>
        <v>572.5555555555555</v>
      </c>
      <c r="O18" s="20">
        <f t="shared" si="3"/>
        <v>687.0666666666667</v>
      </c>
    </row>
    <row r="19" spans="1:15" ht="13.5" thickBot="1">
      <c r="A19" s="331" t="s">
        <v>39</v>
      </c>
      <c r="B19" s="332"/>
      <c r="C19" s="332"/>
      <c r="D19" s="333" t="s">
        <v>44</v>
      </c>
      <c r="E19" s="333"/>
      <c r="F19" s="333"/>
      <c r="G19" s="21">
        <v>0</v>
      </c>
      <c r="H19" s="77">
        <v>27.25</v>
      </c>
      <c r="I19" s="21">
        <v>5153</v>
      </c>
      <c r="J19" s="75">
        <f t="shared" si="0"/>
        <v>0</v>
      </c>
      <c r="K19" s="161"/>
      <c r="L19" s="75">
        <f t="shared" si="1"/>
        <v>1030.6000000000001</v>
      </c>
      <c r="M19" s="157">
        <v>0.2</v>
      </c>
      <c r="N19" s="19">
        <f t="shared" si="2"/>
        <v>7801.069444444444</v>
      </c>
      <c r="O19" s="20">
        <f t="shared" si="3"/>
        <v>9361.283333333335</v>
      </c>
    </row>
    <row r="20" spans="1:15" ht="13.5" thickBot="1">
      <c r="A20" s="334" t="s">
        <v>45</v>
      </c>
      <c r="B20" s="335"/>
      <c r="C20" s="335"/>
      <c r="D20" s="335" t="s">
        <v>185</v>
      </c>
      <c r="E20" s="335"/>
      <c r="F20" s="335"/>
      <c r="G20" s="220">
        <v>0</v>
      </c>
      <c r="H20" s="76">
        <v>11</v>
      </c>
      <c r="I20" s="75">
        <v>5153</v>
      </c>
      <c r="J20" s="75">
        <f t="shared" si="0"/>
        <v>0</v>
      </c>
      <c r="K20" s="157"/>
      <c r="L20" s="75">
        <f t="shared" si="1"/>
        <v>1030.6000000000001</v>
      </c>
      <c r="M20" s="157">
        <v>0.2</v>
      </c>
      <c r="N20" s="19">
        <f t="shared" si="2"/>
        <v>3149.0555555555557</v>
      </c>
      <c r="O20" s="20">
        <f t="shared" si="3"/>
        <v>3778.866666666667</v>
      </c>
    </row>
    <row r="21" spans="1:15" ht="13.5" thickBot="1">
      <c r="A21" s="338" t="s">
        <v>46</v>
      </c>
      <c r="B21" s="339"/>
      <c r="C21" s="340"/>
      <c r="D21" s="341" t="s">
        <v>185</v>
      </c>
      <c r="E21" s="342"/>
      <c r="F21" s="343"/>
      <c r="G21" s="85">
        <v>0</v>
      </c>
      <c r="H21" s="235">
        <v>9</v>
      </c>
      <c r="I21" s="223">
        <v>5153</v>
      </c>
      <c r="J21" s="75">
        <f t="shared" si="0"/>
        <v>0</v>
      </c>
      <c r="K21" s="162"/>
      <c r="L21" s="75">
        <f t="shared" si="1"/>
        <v>1030.6000000000001</v>
      </c>
      <c r="M21" s="157">
        <v>0.2</v>
      </c>
      <c r="N21" s="19">
        <f>I21/9*(G21+H21)</f>
        <v>5153</v>
      </c>
      <c r="O21" s="20">
        <f t="shared" si="3"/>
        <v>3091.8</v>
      </c>
    </row>
    <row r="22" spans="1:15" ht="13.5" thickBot="1">
      <c r="A22" s="329" t="s">
        <v>47</v>
      </c>
      <c r="B22" s="329"/>
      <c r="C22" s="329"/>
      <c r="D22" s="330" t="s">
        <v>36</v>
      </c>
      <c r="E22" s="330"/>
      <c r="F22" s="330"/>
      <c r="G22" s="223">
        <v>0</v>
      </c>
      <c r="H22" s="234">
        <v>13.25</v>
      </c>
      <c r="I22" s="223">
        <v>5153</v>
      </c>
      <c r="J22" s="75">
        <f t="shared" si="0"/>
        <v>1288.25</v>
      </c>
      <c r="K22" s="159">
        <v>0.25</v>
      </c>
      <c r="L22" s="75">
        <f t="shared" si="1"/>
        <v>1030.6000000000001</v>
      </c>
      <c r="M22" s="157">
        <v>0.2</v>
      </c>
      <c r="N22" s="19">
        <f t="shared" si="2"/>
        <v>3793.1805555555557</v>
      </c>
      <c r="O22" s="20">
        <f t="shared" si="3"/>
        <v>5500.111805555556</v>
      </c>
    </row>
    <row r="23" spans="1:15" ht="13.5" thickBot="1">
      <c r="A23" s="329" t="s">
        <v>48</v>
      </c>
      <c r="B23" s="329"/>
      <c r="C23" s="329"/>
      <c r="D23" s="330" t="s">
        <v>50</v>
      </c>
      <c r="E23" s="330"/>
      <c r="F23" s="330"/>
      <c r="G23" s="223">
        <v>0</v>
      </c>
      <c r="H23" s="234">
        <v>9</v>
      </c>
      <c r="I23" s="223">
        <v>4523</v>
      </c>
      <c r="J23" s="75">
        <f t="shared" si="0"/>
        <v>0</v>
      </c>
      <c r="K23" s="159"/>
      <c r="L23" s="75">
        <f t="shared" si="1"/>
        <v>904.6</v>
      </c>
      <c r="M23" s="157">
        <v>0.2</v>
      </c>
      <c r="N23" s="19">
        <f t="shared" si="2"/>
        <v>2261.5</v>
      </c>
      <c r="O23" s="20">
        <f t="shared" si="3"/>
        <v>2713.8</v>
      </c>
    </row>
    <row r="24" spans="1:15" ht="13.5" thickBot="1">
      <c r="A24" s="363" t="s">
        <v>48</v>
      </c>
      <c r="B24" s="363"/>
      <c r="C24" s="363"/>
      <c r="D24" s="364" t="s">
        <v>184</v>
      </c>
      <c r="E24" s="364"/>
      <c r="F24" s="364"/>
      <c r="G24" s="79">
        <v>0</v>
      </c>
      <c r="H24" s="235">
        <v>8</v>
      </c>
      <c r="I24" s="79">
        <v>5153</v>
      </c>
      <c r="J24" s="75">
        <f t="shared" si="0"/>
        <v>772.9499999999999</v>
      </c>
      <c r="K24" s="236">
        <v>0.15</v>
      </c>
      <c r="L24" s="75">
        <f t="shared" si="1"/>
        <v>1030.6000000000001</v>
      </c>
      <c r="M24" s="157">
        <v>0.2</v>
      </c>
      <c r="N24" s="19">
        <f t="shared" si="2"/>
        <v>2290.222222222222</v>
      </c>
      <c r="O24" s="20">
        <f t="shared" si="3"/>
        <v>3091.8</v>
      </c>
    </row>
    <row r="25" spans="1:17" s="71" customFormat="1" ht="13.5" thickBot="1">
      <c r="A25" s="334" t="s">
        <v>49</v>
      </c>
      <c r="B25" s="335"/>
      <c r="C25" s="335"/>
      <c r="D25" s="337" t="s">
        <v>184</v>
      </c>
      <c r="E25" s="337"/>
      <c r="F25" s="337"/>
      <c r="G25" s="76">
        <v>0</v>
      </c>
      <c r="H25" s="76">
        <v>9</v>
      </c>
      <c r="I25" s="75">
        <v>5153</v>
      </c>
      <c r="J25" s="75">
        <f t="shared" si="0"/>
        <v>772.9499999999999</v>
      </c>
      <c r="K25" s="157">
        <v>0.15</v>
      </c>
      <c r="L25" s="75">
        <f t="shared" si="1"/>
        <v>1030.6000000000001</v>
      </c>
      <c r="M25" s="157">
        <v>0.2</v>
      </c>
      <c r="N25" s="19">
        <f t="shared" si="2"/>
        <v>2576.5</v>
      </c>
      <c r="O25" s="20">
        <f t="shared" si="3"/>
        <v>3478.275</v>
      </c>
      <c r="P25" s="72"/>
      <c r="Q25" s="72"/>
    </row>
    <row r="26" spans="1:15" ht="13.5" thickBot="1">
      <c r="A26" s="331" t="s">
        <v>49</v>
      </c>
      <c r="B26" s="332"/>
      <c r="C26" s="332"/>
      <c r="D26" s="332" t="s">
        <v>133</v>
      </c>
      <c r="E26" s="332"/>
      <c r="F26" s="332"/>
      <c r="G26" s="77">
        <v>12</v>
      </c>
      <c r="H26" s="77">
        <v>9</v>
      </c>
      <c r="I26" s="21">
        <v>4523</v>
      </c>
      <c r="J26" s="75">
        <f t="shared" si="0"/>
        <v>0</v>
      </c>
      <c r="K26" s="161"/>
      <c r="L26" s="75">
        <f t="shared" si="1"/>
        <v>904.6</v>
      </c>
      <c r="M26" s="157">
        <v>0.2</v>
      </c>
      <c r="N26" s="19">
        <f t="shared" si="2"/>
        <v>5276.833333333333</v>
      </c>
      <c r="O26" s="20">
        <f t="shared" si="3"/>
        <v>6332.200000000001</v>
      </c>
    </row>
    <row r="27" spans="1:15" ht="13.5" thickBot="1">
      <c r="A27" s="331" t="s">
        <v>49</v>
      </c>
      <c r="B27" s="332"/>
      <c r="C27" s="332"/>
      <c r="D27" s="332" t="s">
        <v>287</v>
      </c>
      <c r="E27" s="332"/>
      <c r="F27" s="332"/>
      <c r="G27" s="77">
        <v>0</v>
      </c>
      <c r="H27" s="77">
        <v>3</v>
      </c>
      <c r="I27" s="21">
        <v>4523</v>
      </c>
      <c r="J27" s="75">
        <f t="shared" si="0"/>
        <v>0</v>
      </c>
      <c r="K27" s="161"/>
      <c r="L27" s="75">
        <f t="shared" si="1"/>
        <v>904.6</v>
      </c>
      <c r="M27" s="157">
        <v>0.2</v>
      </c>
      <c r="N27" s="19">
        <f t="shared" si="2"/>
        <v>753.8333333333333</v>
      </c>
      <c r="O27" s="20">
        <f t="shared" si="3"/>
        <v>904.6000000000001</v>
      </c>
    </row>
    <row r="28" spans="1:15" ht="13.5" thickBot="1">
      <c r="A28" s="329" t="s">
        <v>54</v>
      </c>
      <c r="B28" s="329"/>
      <c r="C28" s="329"/>
      <c r="D28" s="330" t="s">
        <v>37</v>
      </c>
      <c r="E28" s="330"/>
      <c r="F28" s="330"/>
      <c r="G28" s="78"/>
      <c r="H28" s="237">
        <v>7.5</v>
      </c>
      <c r="I28" s="78">
        <v>5153</v>
      </c>
      <c r="J28" s="75">
        <f t="shared" si="0"/>
        <v>772.9499999999999</v>
      </c>
      <c r="K28" s="159">
        <v>0.15</v>
      </c>
      <c r="L28" s="75">
        <f t="shared" si="1"/>
        <v>1030.6000000000001</v>
      </c>
      <c r="M28" s="157">
        <v>0.2</v>
      </c>
      <c r="N28" s="19">
        <f t="shared" si="2"/>
        <v>2147.0833333333335</v>
      </c>
      <c r="O28" s="20">
        <f t="shared" si="3"/>
        <v>2898.5625</v>
      </c>
    </row>
    <row r="29" spans="1:15" ht="13.5" thickBot="1">
      <c r="A29" s="329" t="s">
        <v>56</v>
      </c>
      <c r="B29" s="329"/>
      <c r="C29" s="329"/>
      <c r="D29" s="330" t="s">
        <v>212</v>
      </c>
      <c r="E29" s="330"/>
      <c r="F29" s="330"/>
      <c r="G29" s="223"/>
      <c r="H29" s="234">
        <v>4</v>
      </c>
      <c r="I29" s="223">
        <v>4523</v>
      </c>
      <c r="J29" s="75">
        <f t="shared" si="0"/>
        <v>0</v>
      </c>
      <c r="K29" s="159"/>
      <c r="L29" s="75">
        <f t="shared" si="1"/>
        <v>904.6</v>
      </c>
      <c r="M29" s="157">
        <v>0.2</v>
      </c>
      <c r="N29" s="19">
        <f t="shared" si="2"/>
        <v>1005.1111111111111</v>
      </c>
      <c r="O29" s="20">
        <f t="shared" si="3"/>
        <v>1206.1333333333334</v>
      </c>
    </row>
    <row r="30" spans="1:15" ht="13.5" thickBot="1">
      <c r="A30" s="329" t="s">
        <v>57</v>
      </c>
      <c r="B30" s="329"/>
      <c r="C30" s="329"/>
      <c r="D30" s="330" t="s">
        <v>50</v>
      </c>
      <c r="E30" s="330"/>
      <c r="F30" s="330"/>
      <c r="G30" s="223">
        <v>0</v>
      </c>
      <c r="H30" s="234">
        <v>1</v>
      </c>
      <c r="I30" s="223">
        <v>4523</v>
      </c>
      <c r="J30" s="75">
        <f t="shared" si="0"/>
        <v>0</v>
      </c>
      <c r="K30" s="159"/>
      <c r="L30" s="75">
        <f t="shared" si="1"/>
        <v>904.6</v>
      </c>
      <c r="M30" s="157">
        <v>0.2</v>
      </c>
      <c r="N30" s="19">
        <f t="shared" si="2"/>
        <v>251.27777777777777</v>
      </c>
      <c r="O30" s="20">
        <f t="shared" si="3"/>
        <v>301.53333333333336</v>
      </c>
    </row>
    <row r="31" spans="1:16" ht="13.5" thickBot="1">
      <c r="A31" s="334" t="s">
        <v>58</v>
      </c>
      <c r="B31" s="335"/>
      <c r="C31" s="335"/>
      <c r="D31" s="335" t="s">
        <v>52</v>
      </c>
      <c r="E31" s="335"/>
      <c r="F31" s="335"/>
      <c r="G31" s="76">
        <v>20</v>
      </c>
      <c r="H31" s="220">
        <v>0</v>
      </c>
      <c r="I31" s="220">
        <v>5153</v>
      </c>
      <c r="J31" s="75">
        <f t="shared" si="0"/>
        <v>772.9499999999999</v>
      </c>
      <c r="K31" s="231">
        <v>0.15</v>
      </c>
      <c r="L31" s="75">
        <f t="shared" si="1"/>
        <v>1030.6000000000001</v>
      </c>
      <c r="M31" s="157">
        <v>0.2</v>
      </c>
      <c r="N31" s="19">
        <f t="shared" si="2"/>
        <v>5725.555555555556</v>
      </c>
      <c r="O31" s="20">
        <f t="shared" si="3"/>
        <v>7729.5</v>
      </c>
      <c r="P31" s="156"/>
    </row>
    <row r="32" spans="1:15" ht="13.5" thickBot="1">
      <c r="A32" s="368" t="s">
        <v>58</v>
      </c>
      <c r="B32" s="333"/>
      <c r="C32" s="333"/>
      <c r="D32" s="333" t="s">
        <v>194</v>
      </c>
      <c r="E32" s="333"/>
      <c r="F32" s="333"/>
      <c r="G32" s="77">
        <v>20</v>
      </c>
      <c r="H32" s="21">
        <v>0</v>
      </c>
      <c r="I32" s="21">
        <v>4523</v>
      </c>
      <c r="J32" s="75">
        <f t="shared" si="0"/>
        <v>0</v>
      </c>
      <c r="K32" s="161"/>
      <c r="L32" s="75">
        <f t="shared" si="1"/>
        <v>904.6</v>
      </c>
      <c r="M32" s="157">
        <v>0.2</v>
      </c>
      <c r="N32" s="19">
        <f t="shared" si="2"/>
        <v>5025.555555555556</v>
      </c>
      <c r="O32" s="20">
        <f t="shared" si="3"/>
        <v>6030.666666666667</v>
      </c>
    </row>
    <row r="33" spans="1:15" ht="13.5" thickBot="1">
      <c r="A33" s="368" t="s">
        <v>58</v>
      </c>
      <c r="B33" s="333"/>
      <c r="C33" s="333"/>
      <c r="D33" s="333" t="s">
        <v>53</v>
      </c>
      <c r="E33" s="333"/>
      <c r="F33" s="333"/>
      <c r="G33" s="77">
        <v>21</v>
      </c>
      <c r="H33" s="21">
        <v>1</v>
      </c>
      <c r="I33" s="21">
        <v>5153</v>
      </c>
      <c r="J33" s="75">
        <f t="shared" si="0"/>
        <v>1288.25</v>
      </c>
      <c r="K33" s="161">
        <v>0.25</v>
      </c>
      <c r="L33" s="75">
        <f t="shared" si="1"/>
        <v>1030.6000000000001</v>
      </c>
      <c r="M33" s="157">
        <v>0.2</v>
      </c>
      <c r="N33" s="19">
        <f t="shared" si="2"/>
        <v>6298.111111111111</v>
      </c>
      <c r="O33" s="20">
        <f t="shared" si="3"/>
        <v>9132.261111111113</v>
      </c>
    </row>
    <row r="34" spans="1:15" ht="12.75">
      <c r="A34" s="331" t="s">
        <v>58</v>
      </c>
      <c r="B34" s="332"/>
      <c r="C34" s="332"/>
      <c r="D34" s="332" t="s">
        <v>51</v>
      </c>
      <c r="E34" s="332"/>
      <c r="F34" s="332"/>
      <c r="G34" s="77">
        <v>22</v>
      </c>
      <c r="H34" s="21">
        <v>0</v>
      </c>
      <c r="I34" s="21">
        <v>5153</v>
      </c>
      <c r="J34" s="75">
        <f t="shared" si="0"/>
        <v>772.9499999999999</v>
      </c>
      <c r="K34" s="161">
        <v>0.15</v>
      </c>
      <c r="L34" s="75">
        <f t="shared" si="1"/>
        <v>1030.6000000000001</v>
      </c>
      <c r="M34" s="157">
        <v>0.2</v>
      </c>
      <c r="N34" s="19">
        <f t="shared" si="2"/>
        <v>6298.111111111111</v>
      </c>
      <c r="O34" s="20">
        <f t="shared" si="3"/>
        <v>8502.45</v>
      </c>
    </row>
    <row r="35" spans="1:15" ht="13.5" thickBot="1">
      <c r="A35" s="365" t="s">
        <v>29</v>
      </c>
      <c r="B35" s="365"/>
      <c r="C35" s="365"/>
      <c r="D35" s="365"/>
      <c r="E35" s="365"/>
      <c r="F35" s="365"/>
      <c r="G35" s="80">
        <f>SUM(G6:G34)</f>
        <v>101</v>
      </c>
      <c r="H35" s="80">
        <f>SUM(H6:H34)</f>
        <v>246</v>
      </c>
      <c r="I35" s="81"/>
      <c r="J35" s="81"/>
      <c r="K35" s="81"/>
      <c r="L35" s="81"/>
      <c r="M35" s="81"/>
      <c r="N35" s="82">
        <f>SUM(N6:N34)</f>
        <v>99324.88888888888</v>
      </c>
      <c r="O35" s="83">
        <f>SUM(O6:O34)</f>
        <v>128762.27986111114</v>
      </c>
    </row>
    <row r="36" spans="1:15" ht="12.75">
      <c r="A36" s="366" t="s">
        <v>200</v>
      </c>
      <c r="B36" s="366"/>
      <c r="C36" s="366"/>
      <c r="D36" s="366"/>
      <c r="E36" s="366"/>
      <c r="F36" s="366"/>
      <c r="G36" s="366"/>
      <c r="H36" s="366"/>
      <c r="I36" s="366"/>
      <c r="J36" s="367">
        <f>(G35+H35)/18</f>
        <v>19.27777777777778</v>
      </c>
      <c r="K36" s="367"/>
      <c r="L36" s="367"/>
      <c r="M36" s="367"/>
      <c r="N36" s="367"/>
      <c r="O36" s="84"/>
    </row>
    <row r="37" spans="1:18" ht="12.75">
      <c r="A37" s="72" t="s">
        <v>201</v>
      </c>
      <c r="B37" s="72">
        <f>N35/J36</f>
        <v>5152.299711815561</v>
      </c>
      <c r="P37" s="268"/>
      <c r="Q37" s="268"/>
      <c r="R37" s="269"/>
    </row>
    <row r="38" spans="16:18" ht="12.75">
      <c r="P38" s="268"/>
      <c r="Q38" s="268"/>
      <c r="R38" s="269"/>
    </row>
    <row r="39" spans="16:18" ht="12.75">
      <c r="P39" s="268"/>
      <c r="Q39" s="268"/>
      <c r="R39" s="269"/>
    </row>
    <row r="40" spans="16:18" ht="12.75">
      <c r="P40" s="268"/>
      <c r="Q40" s="268"/>
      <c r="R40" s="269"/>
    </row>
    <row r="41" spans="16:18" ht="12.75">
      <c r="P41" s="268"/>
      <c r="Q41" s="268"/>
      <c r="R41" s="269"/>
    </row>
    <row r="42" spans="16:18" ht="12.75">
      <c r="P42" s="268"/>
      <c r="Q42" s="268"/>
      <c r="R42" s="269"/>
    </row>
    <row r="43" spans="16:18" ht="12.75">
      <c r="P43" s="268"/>
      <c r="Q43" s="268"/>
      <c r="R43" s="269"/>
    </row>
    <row r="44" spans="1:18" ht="12.75">
      <c r="A44" s="328" t="s">
        <v>273</v>
      </c>
      <c r="B44" s="328"/>
      <c r="C44" s="328"/>
      <c r="D44" s="328"/>
      <c r="E44" s="328"/>
      <c r="F44" s="328"/>
      <c r="G44" s="328"/>
      <c r="H44" s="328"/>
      <c r="I44" s="328"/>
      <c r="J44" s="328"/>
      <c r="K44" s="328"/>
      <c r="P44" s="268"/>
      <c r="Q44" s="268"/>
      <c r="R44" s="269"/>
    </row>
    <row r="45" spans="16:18" ht="13.5" thickBot="1">
      <c r="P45" s="268"/>
      <c r="Q45" s="268"/>
      <c r="R45" s="269"/>
    </row>
    <row r="46" spans="1:18" ht="13.5" thickBot="1">
      <c r="A46" s="334" t="s">
        <v>211</v>
      </c>
      <c r="B46" s="335"/>
      <c r="C46" s="335"/>
      <c r="D46" s="335" t="s">
        <v>28</v>
      </c>
      <c r="E46" s="335"/>
      <c r="F46" s="335"/>
      <c r="G46" s="76"/>
      <c r="H46" s="267">
        <v>3</v>
      </c>
      <c r="I46" s="267">
        <v>5153</v>
      </c>
      <c r="J46" s="75">
        <f aca="true" t="shared" si="4" ref="J46:J52">I46*K46</f>
        <v>1288.25</v>
      </c>
      <c r="K46" s="231">
        <v>0.25</v>
      </c>
      <c r="L46" s="75">
        <f aca="true" t="shared" si="5" ref="L46:L52">I46*M46</f>
        <v>1030.6000000000001</v>
      </c>
      <c r="M46" s="157">
        <v>0.2</v>
      </c>
      <c r="N46" s="19">
        <f aca="true" t="shared" si="6" ref="N46:N52">I46/18*(G46+H46)</f>
        <v>858.8333333333333</v>
      </c>
      <c r="O46" s="20">
        <f aca="true" t="shared" si="7" ref="O46:O52">(I46+J46+L46)/18*(G46+H46)</f>
        <v>1245.3083333333334</v>
      </c>
      <c r="P46" s="268"/>
      <c r="Q46" s="268"/>
      <c r="R46" s="269"/>
    </row>
    <row r="47" spans="1:18" ht="13.5" thickBot="1">
      <c r="A47" s="336" t="s">
        <v>31</v>
      </c>
      <c r="B47" s="337"/>
      <c r="C47" s="337"/>
      <c r="D47" s="332" t="s">
        <v>182</v>
      </c>
      <c r="E47" s="332"/>
      <c r="F47" s="332"/>
      <c r="G47" s="77"/>
      <c r="H47" s="21">
        <v>3</v>
      </c>
      <c r="I47" s="21">
        <v>5153</v>
      </c>
      <c r="J47" s="75">
        <f t="shared" si="4"/>
        <v>0</v>
      </c>
      <c r="K47" s="161"/>
      <c r="L47" s="75">
        <f t="shared" si="5"/>
        <v>1030.6000000000001</v>
      </c>
      <c r="M47" s="157">
        <v>0.2</v>
      </c>
      <c r="N47" s="19">
        <f t="shared" si="6"/>
        <v>858.8333333333333</v>
      </c>
      <c r="O47" s="20">
        <f t="shared" si="7"/>
        <v>1030.6000000000001</v>
      </c>
      <c r="P47" s="268"/>
      <c r="Q47" s="268"/>
      <c r="R47" s="269"/>
    </row>
    <row r="48" spans="1:18" ht="13.5" thickBot="1">
      <c r="A48" s="334" t="s">
        <v>33</v>
      </c>
      <c r="B48" s="335"/>
      <c r="C48" s="335"/>
      <c r="D48" s="335" t="s">
        <v>185</v>
      </c>
      <c r="E48" s="335"/>
      <c r="F48" s="335"/>
      <c r="G48" s="77"/>
      <c r="H48" s="21">
        <v>1</v>
      </c>
      <c r="I48" s="21">
        <v>5153</v>
      </c>
      <c r="J48" s="75">
        <f t="shared" si="4"/>
        <v>0</v>
      </c>
      <c r="K48" s="161"/>
      <c r="L48" s="75">
        <f t="shared" si="5"/>
        <v>1030.6000000000001</v>
      </c>
      <c r="M48" s="157">
        <v>0.2</v>
      </c>
      <c r="N48" s="19">
        <f t="shared" si="6"/>
        <v>286.27777777777777</v>
      </c>
      <c r="O48" s="20">
        <f t="shared" si="7"/>
        <v>343.53333333333336</v>
      </c>
      <c r="P48" s="268"/>
      <c r="Q48" s="268"/>
      <c r="R48" s="269"/>
    </row>
    <row r="49" spans="1:18" ht="13.5" thickBot="1">
      <c r="A49" s="329" t="s">
        <v>35</v>
      </c>
      <c r="B49" s="329"/>
      <c r="C49" s="329"/>
      <c r="D49" s="330" t="s">
        <v>36</v>
      </c>
      <c r="E49" s="330"/>
      <c r="F49" s="330"/>
      <c r="G49" s="77"/>
      <c r="H49" s="21">
        <v>0.5</v>
      </c>
      <c r="I49" s="21">
        <v>5153</v>
      </c>
      <c r="J49" s="75">
        <f t="shared" si="4"/>
        <v>1288.25</v>
      </c>
      <c r="K49" s="161">
        <v>0.25</v>
      </c>
      <c r="L49" s="75">
        <f t="shared" si="5"/>
        <v>1030.6000000000001</v>
      </c>
      <c r="M49" s="157">
        <v>0.2</v>
      </c>
      <c r="N49" s="19">
        <f t="shared" si="6"/>
        <v>143.13888888888889</v>
      </c>
      <c r="O49" s="20">
        <f t="shared" si="7"/>
        <v>207.5513888888889</v>
      </c>
      <c r="P49" s="268"/>
      <c r="Q49" s="268"/>
      <c r="R49" s="269"/>
    </row>
    <row r="50" spans="1:18" ht="13.5" thickBot="1">
      <c r="A50" s="331" t="s">
        <v>39</v>
      </c>
      <c r="B50" s="332"/>
      <c r="C50" s="332"/>
      <c r="D50" s="333" t="s">
        <v>44</v>
      </c>
      <c r="E50" s="333"/>
      <c r="F50" s="333"/>
      <c r="G50" s="76"/>
      <c r="H50" s="267">
        <v>1</v>
      </c>
      <c r="I50" s="267">
        <v>5153</v>
      </c>
      <c r="J50" s="75">
        <f t="shared" si="4"/>
        <v>0</v>
      </c>
      <c r="K50" s="231"/>
      <c r="L50" s="75">
        <f t="shared" si="5"/>
        <v>1030.6000000000001</v>
      </c>
      <c r="M50" s="157">
        <v>0.2</v>
      </c>
      <c r="N50" s="19">
        <f t="shared" si="6"/>
        <v>286.27777777777777</v>
      </c>
      <c r="O50" s="20">
        <f t="shared" si="7"/>
        <v>343.53333333333336</v>
      </c>
      <c r="P50" s="268"/>
      <c r="Q50" s="268"/>
      <c r="R50" s="269"/>
    </row>
    <row r="51" spans="1:18" ht="13.5" thickBot="1">
      <c r="A51" s="334" t="s">
        <v>45</v>
      </c>
      <c r="B51" s="335"/>
      <c r="C51" s="335"/>
      <c r="D51" s="335" t="s">
        <v>185</v>
      </c>
      <c r="E51" s="335"/>
      <c r="F51" s="335"/>
      <c r="G51" s="77"/>
      <c r="H51" s="21">
        <v>0.5</v>
      </c>
      <c r="I51" s="21">
        <v>5153</v>
      </c>
      <c r="J51" s="75">
        <f t="shared" si="4"/>
        <v>0</v>
      </c>
      <c r="K51" s="161"/>
      <c r="L51" s="75">
        <f t="shared" si="5"/>
        <v>1030.6000000000001</v>
      </c>
      <c r="M51" s="157">
        <v>0.2</v>
      </c>
      <c r="N51" s="19">
        <f t="shared" si="6"/>
        <v>143.13888888888889</v>
      </c>
      <c r="O51" s="20">
        <f t="shared" si="7"/>
        <v>171.76666666666668</v>
      </c>
      <c r="P51" s="268"/>
      <c r="Q51" s="268"/>
      <c r="R51" s="269"/>
    </row>
    <row r="52" spans="1:18" ht="12.75">
      <c r="A52" s="323" t="s">
        <v>47</v>
      </c>
      <c r="B52" s="323"/>
      <c r="C52" s="323"/>
      <c r="D52" s="324" t="s">
        <v>36</v>
      </c>
      <c r="E52" s="324"/>
      <c r="F52" s="324"/>
      <c r="G52" s="270"/>
      <c r="H52" s="271">
        <v>1</v>
      </c>
      <c r="I52" s="271">
        <v>5153</v>
      </c>
      <c r="J52" s="272">
        <f t="shared" si="4"/>
        <v>1288.25</v>
      </c>
      <c r="K52" s="273">
        <v>0.25</v>
      </c>
      <c r="L52" s="272">
        <f t="shared" si="5"/>
        <v>1030.6000000000001</v>
      </c>
      <c r="M52" s="274">
        <v>0.2</v>
      </c>
      <c r="N52" s="275">
        <f t="shared" si="6"/>
        <v>286.27777777777777</v>
      </c>
      <c r="O52" s="276">
        <f t="shared" si="7"/>
        <v>415.1027777777778</v>
      </c>
      <c r="P52" s="268"/>
      <c r="Q52" s="268"/>
      <c r="R52" s="269"/>
    </row>
    <row r="53" spans="1:15" ht="12.75">
      <c r="A53" s="325"/>
      <c r="B53" s="326"/>
      <c r="C53" s="327"/>
      <c r="D53" s="325" t="s">
        <v>63</v>
      </c>
      <c r="E53" s="326"/>
      <c r="F53" s="327"/>
      <c r="G53" s="277">
        <f>G46+G47+G48+G49+G50+G51+G52</f>
        <v>0</v>
      </c>
      <c r="H53" s="278">
        <f aca="true" t="shared" si="8" ref="H53:O53">H46+H47+H48+H49+H50+H51+H52</f>
        <v>10</v>
      </c>
      <c r="I53" s="277">
        <f t="shared" si="8"/>
        <v>36071</v>
      </c>
      <c r="J53" s="277">
        <f t="shared" si="8"/>
        <v>3864.75</v>
      </c>
      <c r="K53" s="277">
        <f t="shared" si="8"/>
        <v>0.75</v>
      </c>
      <c r="L53" s="277">
        <f t="shared" si="8"/>
        <v>7214.200000000002</v>
      </c>
      <c r="M53" s="277">
        <f t="shared" si="8"/>
        <v>1.4</v>
      </c>
      <c r="N53" s="277">
        <f t="shared" si="8"/>
        <v>2862.7777777777774</v>
      </c>
      <c r="O53" s="277">
        <f t="shared" si="8"/>
        <v>3757.395833333334</v>
      </c>
    </row>
  </sheetData>
  <sheetProtection/>
  <mergeCells count="89">
    <mergeCell ref="J36:N36"/>
    <mergeCell ref="A32:C32"/>
    <mergeCell ref="D32:F32"/>
    <mergeCell ref="A33:C33"/>
    <mergeCell ref="D33:F33"/>
    <mergeCell ref="A34:C34"/>
    <mergeCell ref="D34:F34"/>
    <mergeCell ref="A30:C30"/>
    <mergeCell ref="D30:F30"/>
    <mergeCell ref="D31:F31"/>
    <mergeCell ref="A35:F35"/>
    <mergeCell ref="A36:I36"/>
    <mergeCell ref="A31:C31"/>
    <mergeCell ref="D26:F26"/>
    <mergeCell ref="A27:C27"/>
    <mergeCell ref="D27:F27"/>
    <mergeCell ref="A28:C28"/>
    <mergeCell ref="D28:F28"/>
    <mergeCell ref="D29:F29"/>
    <mergeCell ref="A29:C29"/>
    <mergeCell ref="A26:C26"/>
    <mergeCell ref="A23:C23"/>
    <mergeCell ref="D23:F23"/>
    <mergeCell ref="A24:C24"/>
    <mergeCell ref="D24:F24"/>
    <mergeCell ref="A25:C25"/>
    <mergeCell ref="D25:F25"/>
    <mergeCell ref="A20:C20"/>
    <mergeCell ref="D20:F20"/>
    <mergeCell ref="A22:C22"/>
    <mergeCell ref="D22:F22"/>
    <mergeCell ref="A17:C17"/>
    <mergeCell ref="D17:F17"/>
    <mergeCell ref="A18:C18"/>
    <mergeCell ref="D18:F18"/>
    <mergeCell ref="A19:C19"/>
    <mergeCell ref="D19:F19"/>
    <mergeCell ref="A14:C14"/>
    <mergeCell ref="D14:F14"/>
    <mergeCell ref="A16:C16"/>
    <mergeCell ref="D16:F16"/>
    <mergeCell ref="A10:C10"/>
    <mergeCell ref="D10:F10"/>
    <mergeCell ref="A12:C12"/>
    <mergeCell ref="D12:F12"/>
    <mergeCell ref="A13:C13"/>
    <mergeCell ref="D13:F13"/>
    <mergeCell ref="A7:C7"/>
    <mergeCell ref="D7:F7"/>
    <mergeCell ref="J3:K4"/>
    <mergeCell ref="A11:C11"/>
    <mergeCell ref="D11:F11"/>
    <mergeCell ref="A8:C8"/>
    <mergeCell ref="D8:F8"/>
    <mergeCell ref="A9:C9"/>
    <mergeCell ref="D9:F9"/>
    <mergeCell ref="L3:M4"/>
    <mergeCell ref="N3:N4"/>
    <mergeCell ref="O3:O4"/>
    <mergeCell ref="A5:O5"/>
    <mergeCell ref="A6:C6"/>
    <mergeCell ref="D6:F6"/>
    <mergeCell ref="A21:C21"/>
    <mergeCell ref="D21:F21"/>
    <mergeCell ref="A15:C15"/>
    <mergeCell ref="D15:F15"/>
    <mergeCell ref="D1:M1"/>
    <mergeCell ref="A3:C4"/>
    <mergeCell ref="D3:F4"/>
    <mergeCell ref="G3:G4"/>
    <mergeCell ref="H3:H4"/>
    <mergeCell ref="I3:I4"/>
    <mergeCell ref="D51:F51"/>
    <mergeCell ref="A46:C46"/>
    <mergeCell ref="D46:F46"/>
    <mergeCell ref="A47:C47"/>
    <mergeCell ref="D47:F47"/>
    <mergeCell ref="A48:C48"/>
    <mergeCell ref="D48:F48"/>
    <mergeCell ref="A52:C52"/>
    <mergeCell ref="D52:F52"/>
    <mergeCell ref="A53:C53"/>
    <mergeCell ref="D53:F53"/>
    <mergeCell ref="A44:K44"/>
    <mergeCell ref="A49:C49"/>
    <mergeCell ref="D49:F49"/>
    <mergeCell ref="A50:C50"/>
    <mergeCell ref="D50:F50"/>
    <mergeCell ref="A51:C51"/>
  </mergeCells>
  <printOptions/>
  <pageMargins left="0.2362204724409449" right="0.31496062992125984" top="0.35433070866141736" bottom="0.31496062992125984" header="0.31496062992125984" footer="0.31496062992125984"/>
  <pageSetup fitToHeight="2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0"/>
  <sheetViews>
    <sheetView zoomScalePageLayoutView="0" workbookViewId="0" topLeftCell="A1">
      <selection activeCell="F68" sqref="F68:G69"/>
    </sheetView>
  </sheetViews>
  <sheetFormatPr defaultColWidth="6.57421875" defaultRowHeight="12.75"/>
  <cols>
    <col min="1" max="1" width="5.28125" style="0" customWidth="1"/>
    <col min="2" max="2" width="28.140625" style="0" customWidth="1"/>
    <col min="3" max="4" width="6.57421875" style="0" customWidth="1"/>
    <col min="5" max="5" width="11.7109375" style="0" customWidth="1"/>
    <col min="6" max="7" width="8.28125" style="0" customWidth="1"/>
    <col min="8" max="8" width="7.8515625" style="0" customWidth="1"/>
    <col min="9" max="9" width="7.7109375" style="211" customWidth="1"/>
    <col min="10" max="10" width="6.57421875" style="0" customWidth="1"/>
    <col min="11" max="11" width="19.8515625" style="0" customWidth="1"/>
    <col min="12" max="12" width="8.8515625" style="0" customWidth="1"/>
    <col min="13" max="13" width="9.00390625" style="0" customWidth="1"/>
  </cols>
  <sheetData>
    <row r="1" spans="3:11" ht="18">
      <c r="C1" s="406" t="s">
        <v>214</v>
      </c>
      <c r="D1" s="406"/>
      <c r="E1" s="406"/>
      <c r="F1" s="406"/>
      <c r="G1" s="406"/>
      <c r="H1" s="406"/>
      <c r="I1" s="406"/>
      <c r="J1" s="406"/>
      <c r="K1" s="406"/>
    </row>
    <row r="2" spans="3:9" ht="12.75">
      <c r="C2" s="407"/>
      <c r="D2" s="407"/>
      <c r="E2" s="407"/>
      <c r="F2" s="407"/>
      <c r="G2" s="407"/>
      <c r="H2" s="407"/>
      <c r="I2" s="407"/>
    </row>
    <row r="3" spans="1:13" ht="12.75" customHeight="1">
      <c r="A3" s="408" t="s">
        <v>60</v>
      </c>
      <c r="B3" s="409" t="s">
        <v>21</v>
      </c>
      <c r="C3" s="412" t="s">
        <v>61</v>
      </c>
      <c r="D3" s="413"/>
      <c r="E3" s="414"/>
      <c r="F3" s="421" t="s">
        <v>215</v>
      </c>
      <c r="G3" s="421"/>
      <c r="H3" s="421"/>
      <c r="I3" s="421"/>
      <c r="J3" s="421"/>
      <c r="K3" s="421"/>
      <c r="L3" s="424" t="s">
        <v>216</v>
      </c>
      <c r="M3" s="425"/>
    </row>
    <row r="4" spans="1:13" ht="12.75">
      <c r="A4" s="408"/>
      <c r="B4" s="410"/>
      <c r="C4" s="415"/>
      <c r="D4" s="416"/>
      <c r="E4" s="417"/>
      <c r="F4" s="426" t="s">
        <v>26</v>
      </c>
      <c r="G4" s="426" t="s">
        <v>153</v>
      </c>
      <c r="H4" s="176"/>
      <c r="I4" s="427" t="s">
        <v>217</v>
      </c>
      <c r="J4" s="429" t="s">
        <v>62</v>
      </c>
      <c r="K4" s="429" t="s">
        <v>63</v>
      </c>
      <c r="L4" s="431" t="s">
        <v>218</v>
      </c>
      <c r="M4" s="431" t="s">
        <v>63</v>
      </c>
    </row>
    <row r="5" spans="1:13" ht="66">
      <c r="A5" s="408"/>
      <c r="B5" s="411"/>
      <c r="C5" s="418"/>
      <c r="D5" s="419"/>
      <c r="E5" s="420"/>
      <c r="F5" s="426"/>
      <c r="G5" s="426"/>
      <c r="H5" s="177" t="s">
        <v>219</v>
      </c>
      <c r="I5" s="428"/>
      <c r="J5" s="430"/>
      <c r="K5" s="430"/>
      <c r="L5" s="432"/>
      <c r="M5" s="432"/>
    </row>
    <row r="6" spans="1:13" ht="12.75">
      <c r="A6" s="7"/>
      <c r="B6" s="316"/>
      <c r="C6" s="369" t="s">
        <v>288</v>
      </c>
      <c r="D6" s="370"/>
      <c r="E6" s="371"/>
      <c r="F6" s="317"/>
      <c r="G6" s="317"/>
      <c r="H6" s="318"/>
      <c r="I6" s="178"/>
      <c r="J6" s="318"/>
      <c r="K6" s="318"/>
      <c r="L6" s="319"/>
      <c r="M6" s="319"/>
    </row>
    <row r="7" spans="1:13" ht="13.5">
      <c r="A7" s="212">
        <v>1</v>
      </c>
      <c r="B7" s="212" t="s">
        <v>220</v>
      </c>
      <c r="C7" s="422" t="s">
        <v>221</v>
      </c>
      <c r="D7" s="422"/>
      <c r="E7" s="422"/>
      <c r="F7" s="180">
        <v>30</v>
      </c>
      <c r="G7" s="180">
        <v>25</v>
      </c>
      <c r="H7" s="180">
        <v>15</v>
      </c>
      <c r="I7" s="181"/>
      <c r="J7" s="180"/>
      <c r="K7" s="182">
        <f>J7+I7+H7+G7</f>
        <v>40</v>
      </c>
      <c r="L7" s="179"/>
      <c r="M7" s="183"/>
    </row>
    <row r="8" spans="1:13" ht="13.5">
      <c r="A8" s="398">
        <v>2</v>
      </c>
      <c r="B8" s="398" t="s">
        <v>222</v>
      </c>
      <c r="C8" s="392" t="s">
        <v>223</v>
      </c>
      <c r="D8" s="393"/>
      <c r="E8" s="394"/>
      <c r="F8" s="180">
        <v>18</v>
      </c>
      <c r="G8" s="180">
        <v>25</v>
      </c>
      <c r="H8" s="180">
        <v>15</v>
      </c>
      <c r="I8" s="181"/>
      <c r="J8" s="180"/>
      <c r="K8" s="182">
        <f aca="true" t="shared" si="0" ref="K8:K69">J8+I8+H8+G8</f>
        <v>40</v>
      </c>
      <c r="L8" s="179"/>
      <c r="M8" s="183"/>
    </row>
    <row r="9" spans="1:13" ht="12.75">
      <c r="A9" s="423"/>
      <c r="B9" s="399"/>
      <c r="C9" s="422" t="s">
        <v>136</v>
      </c>
      <c r="D9" s="422"/>
      <c r="E9" s="422"/>
      <c r="F9" s="180">
        <v>38</v>
      </c>
      <c r="G9" s="180">
        <v>25</v>
      </c>
      <c r="H9" s="180"/>
      <c r="I9" s="181"/>
      <c r="J9" s="180">
        <v>20</v>
      </c>
      <c r="K9" s="182">
        <f t="shared" si="0"/>
        <v>45</v>
      </c>
      <c r="L9" s="182">
        <v>10</v>
      </c>
      <c r="M9" s="182">
        <v>10</v>
      </c>
    </row>
    <row r="10" spans="1:13" ht="13.5">
      <c r="A10" s="391"/>
      <c r="B10" s="400"/>
      <c r="C10" s="392" t="s">
        <v>224</v>
      </c>
      <c r="D10" s="433"/>
      <c r="E10" s="434"/>
      <c r="F10" s="180">
        <v>18</v>
      </c>
      <c r="G10" s="180">
        <v>25</v>
      </c>
      <c r="H10" s="180"/>
      <c r="I10" s="181"/>
      <c r="J10" s="180"/>
      <c r="K10" s="182">
        <f t="shared" si="0"/>
        <v>25</v>
      </c>
      <c r="L10" s="179"/>
      <c r="M10" s="183"/>
    </row>
    <row r="11" spans="1:13" ht="13.5">
      <c r="A11" s="398">
        <v>3</v>
      </c>
      <c r="B11" s="398" t="s">
        <v>225</v>
      </c>
      <c r="C11" s="392" t="s">
        <v>224</v>
      </c>
      <c r="D11" s="433"/>
      <c r="E11" s="434"/>
      <c r="F11" s="180">
        <v>10</v>
      </c>
      <c r="G11" s="180">
        <v>15</v>
      </c>
      <c r="H11" s="180"/>
      <c r="I11" s="181"/>
      <c r="J11" s="180"/>
      <c r="K11" s="182">
        <f t="shared" si="0"/>
        <v>15</v>
      </c>
      <c r="L11" s="179"/>
      <c r="M11" s="183"/>
    </row>
    <row r="12" spans="1:13" ht="13.5">
      <c r="A12" s="423"/>
      <c r="B12" s="399"/>
      <c r="C12" s="392" t="s">
        <v>226</v>
      </c>
      <c r="D12" s="393"/>
      <c r="E12" s="394"/>
      <c r="F12" s="180">
        <v>10</v>
      </c>
      <c r="G12" s="180">
        <v>15</v>
      </c>
      <c r="H12" s="180">
        <v>15</v>
      </c>
      <c r="I12" s="181"/>
      <c r="J12" s="180"/>
      <c r="K12" s="182">
        <f t="shared" si="0"/>
        <v>30</v>
      </c>
      <c r="L12" s="179"/>
      <c r="M12" s="183"/>
    </row>
    <row r="13" spans="1:13" ht="13.5">
      <c r="A13" s="391"/>
      <c r="B13" s="400"/>
      <c r="C13" s="422" t="s">
        <v>227</v>
      </c>
      <c r="D13" s="422"/>
      <c r="E13" s="422"/>
      <c r="F13" s="180">
        <v>27</v>
      </c>
      <c r="G13" s="180">
        <v>25</v>
      </c>
      <c r="H13" s="180"/>
      <c r="I13" s="181"/>
      <c r="J13" s="180"/>
      <c r="K13" s="182">
        <f t="shared" si="0"/>
        <v>25</v>
      </c>
      <c r="L13" s="179"/>
      <c r="M13" s="183"/>
    </row>
    <row r="14" spans="1:13" ht="13.5">
      <c r="A14" s="390">
        <v>4</v>
      </c>
      <c r="B14" s="387" t="s">
        <v>228</v>
      </c>
      <c r="C14" s="392" t="s">
        <v>67</v>
      </c>
      <c r="D14" s="393"/>
      <c r="E14" s="394"/>
      <c r="F14" s="180">
        <v>38</v>
      </c>
      <c r="G14" s="180">
        <v>25</v>
      </c>
      <c r="H14" s="180"/>
      <c r="I14" s="181"/>
      <c r="J14" s="180">
        <v>5</v>
      </c>
      <c r="K14" s="182">
        <f t="shared" si="0"/>
        <v>30</v>
      </c>
      <c r="L14" s="179"/>
      <c r="M14" s="183"/>
    </row>
    <row r="15" spans="1:13" ht="12.75">
      <c r="A15" s="391"/>
      <c r="B15" s="389"/>
      <c r="C15" s="395" t="s">
        <v>66</v>
      </c>
      <c r="D15" s="395"/>
      <c r="E15" s="395"/>
      <c r="F15" s="184">
        <v>38</v>
      </c>
      <c r="G15" s="184">
        <v>25</v>
      </c>
      <c r="H15" s="184"/>
      <c r="I15" s="185"/>
      <c r="J15" s="184">
        <v>5</v>
      </c>
      <c r="K15" s="182">
        <f t="shared" si="0"/>
        <v>30</v>
      </c>
      <c r="L15" s="186">
        <v>10</v>
      </c>
      <c r="M15" s="187">
        <f>L15</f>
        <v>10</v>
      </c>
    </row>
    <row r="16" spans="1:13" ht="12.75">
      <c r="A16" s="214">
        <v>5</v>
      </c>
      <c r="B16" s="214" t="s">
        <v>178</v>
      </c>
      <c r="C16" s="378" t="s">
        <v>136</v>
      </c>
      <c r="D16" s="396"/>
      <c r="E16" s="397"/>
      <c r="F16" s="184">
        <v>1</v>
      </c>
      <c r="G16" s="184">
        <v>5</v>
      </c>
      <c r="H16" s="188"/>
      <c r="I16" s="189">
        <v>20</v>
      </c>
      <c r="J16" s="188">
        <v>20</v>
      </c>
      <c r="K16" s="182">
        <f t="shared" si="0"/>
        <v>45</v>
      </c>
      <c r="L16" s="190"/>
      <c r="M16" s="191"/>
    </row>
    <row r="17" spans="1:13" ht="12.75">
      <c r="A17" s="214">
        <v>6</v>
      </c>
      <c r="B17" s="214" t="s">
        <v>229</v>
      </c>
      <c r="C17" s="403" t="s">
        <v>69</v>
      </c>
      <c r="D17" s="404"/>
      <c r="E17" s="405"/>
      <c r="F17" s="184">
        <v>4</v>
      </c>
      <c r="G17" s="184">
        <v>5</v>
      </c>
      <c r="H17" s="188"/>
      <c r="I17" s="189"/>
      <c r="J17" s="188">
        <v>5</v>
      </c>
      <c r="K17" s="182">
        <f t="shared" si="0"/>
        <v>10</v>
      </c>
      <c r="L17" s="190">
        <v>10</v>
      </c>
      <c r="M17" s="191">
        <f>L17</f>
        <v>10</v>
      </c>
    </row>
    <row r="18" spans="1:13" ht="12.75">
      <c r="A18" s="214">
        <v>7</v>
      </c>
      <c r="B18" s="218" t="s">
        <v>230</v>
      </c>
      <c r="C18" s="378" t="s">
        <v>231</v>
      </c>
      <c r="D18" s="379"/>
      <c r="E18" s="380"/>
      <c r="F18" s="193">
        <v>4</v>
      </c>
      <c r="G18" s="193">
        <v>5</v>
      </c>
      <c r="H18" s="177"/>
      <c r="I18" s="178"/>
      <c r="J18" s="177">
        <v>10</v>
      </c>
      <c r="K18" s="182">
        <f t="shared" si="0"/>
        <v>15</v>
      </c>
      <c r="L18" s="191">
        <v>10</v>
      </c>
      <c r="M18" s="191">
        <f>L18</f>
        <v>10</v>
      </c>
    </row>
    <row r="19" spans="1:13" ht="12.75">
      <c r="A19" s="387">
        <v>8</v>
      </c>
      <c r="B19" s="401" t="s">
        <v>232</v>
      </c>
      <c r="C19" s="378" t="s">
        <v>138</v>
      </c>
      <c r="D19" s="435"/>
      <c r="E19" s="436"/>
      <c r="F19" s="193">
        <v>34</v>
      </c>
      <c r="G19" s="193">
        <v>25</v>
      </c>
      <c r="H19" s="177"/>
      <c r="I19" s="178"/>
      <c r="J19" s="177">
        <v>25</v>
      </c>
      <c r="K19" s="182">
        <f t="shared" si="0"/>
        <v>50</v>
      </c>
      <c r="L19" s="191"/>
      <c r="M19" s="191"/>
    </row>
    <row r="20" spans="1:13" ht="12.75">
      <c r="A20" s="391"/>
      <c r="B20" s="402"/>
      <c r="C20" s="437" t="s">
        <v>137</v>
      </c>
      <c r="D20" s="437"/>
      <c r="E20" s="437"/>
      <c r="F20" s="194">
        <v>34</v>
      </c>
      <c r="G20" s="195">
        <v>25</v>
      </c>
      <c r="H20" s="195"/>
      <c r="I20" s="196"/>
      <c r="J20" s="194">
        <v>25</v>
      </c>
      <c r="K20" s="182">
        <f t="shared" si="0"/>
        <v>50</v>
      </c>
      <c r="L20" s="194">
        <v>10</v>
      </c>
      <c r="M20" s="191">
        <f aca="true" t="shared" si="1" ref="M20:M55">L20</f>
        <v>10</v>
      </c>
    </row>
    <row r="21" spans="1:13" ht="12.75">
      <c r="A21" s="387">
        <v>9</v>
      </c>
      <c r="B21" s="438" t="s">
        <v>176</v>
      </c>
      <c r="C21" s="437" t="s">
        <v>137</v>
      </c>
      <c r="D21" s="437"/>
      <c r="E21" s="437"/>
      <c r="F21" s="194">
        <v>1</v>
      </c>
      <c r="G21" s="195">
        <v>5</v>
      </c>
      <c r="H21" s="195"/>
      <c r="I21" s="196">
        <v>20</v>
      </c>
      <c r="J21" s="194">
        <v>25</v>
      </c>
      <c r="K21" s="182">
        <f t="shared" si="0"/>
        <v>50</v>
      </c>
      <c r="L21" s="194">
        <v>10</v>
      </c>
      <c r="M21" s="191">
        <f>L21</f>
        <v>10</v>
      </c>
    </row>
    <row r="22" spans="1:13" ht="12.75">
      <c r="A22" s="389"/>
      <c r="B22" s="439"/>
      <c r="C22" s="378" t="s">
        <v>138</v>
      </c>
      <c r="D22" s="435"/>
      <c r="E22" s="436"/>
      <c r="F22" s="194">
        <v>1</v>
      </c>
      <c r="G22" s="195">
        <v>5</v>
      </c>
      <c r="H22" s="195"/>
      <c r="I22" s="196">
        <v>20</v>
      </c>
      <c r="J22" s="194">
        <v>25</v>
      </c>
      <c r="K22" s="182">
        <f t="shared" si="0"/>
        <v>50</v>
      </c>
      <c r="L22" s="194"/>
      <c r="M22" s="191"/>
    </row>
    <row r="23" spans="1:13" ht="12.75">
      <c r="A23" s="375">
        <v>10</v>
      </c>
      <c r="B23" s="372" t="s">
        <v>289</v>
      </c>
      <c r="C23" s="378" t="s">
        <v>270</v>
      </c>
      <c r="D23" s="379"/>
      <c r="E23" s="380"/>
      <c r="F23" s="204">
        <v>1</v>
      </c>
      <c r="G23" s="195">
        <v>5</v>
      </c>
      <c r="H23" s="195"/>
      <c r="I23" s="196">
        <v>20</v>
      </c>
      <c r="J23" s="204"/>
      <c r="K23" s="182">
        <f t="shared" si="0"/>
        <v>25</v>
      </c>
      <c r="L23" s="204"/>
      <c r="M23" s="319"/>
    </row>
    <row r="24" spans="1:13" ht="12.75">
      <c r="A24" s="376"/>
      <c r="B24" s="373"/>
      <c r="C24" s="378" t="s">
        <v>233</v>
      </c>
      <c r="D24" s="435"/>
      <c r="E24" s="436"/>
      <c r="F24" s="194">
        <v>4</v>
      </c>
      <c r="G24" s="195">
        <v>5</v>
      </c>
      <c r="H24" s="195"/>
      <c r="I24" s="196">
        <v>20</v>
      </c>
      <c r="J24" s="194"/>
      <c r="K24" s="182">
        <f t="shared" si="0"/>
        <v>25</v>
      </c>
      <c r="L24" s="194">
        <v>10</v>
      </c>
      <c r="M24" s="191"/>
    </row>
    <row r="25" spans="1:13" ht="12.75">
      <c r="A25" s="377"/>
      <c r="B25" s="374"/>
      <c r="C25" s="378" t="s">
        <v>136</v>
      </c>
      <c r="D25" s="396"/>
      <c r="E25" s="397"/>
      <c r="F25" s="194">
        <v>4</v>
      </c>
      <c r="G25" s="197">
        <v>5</v>
      </c>
      <c r="H25" s="197"/>
      <c r="I25" s="196">
        <v>20</v>
      </c>
      <c r="J25" s="194">
        <v>20</v>
      </c>
      <c r="K25" s="182">
        <f t="shared" si="0"/>
        <v>45</v>
      </c>
      <c r="L25" s="194"/>
      <c r="M25" s="191">
        <f t="shared" si="1"/>
        <v>0</v>
      </c>
    </row>
    <row r="26" spans="1:13" ht="12.75">
      <c r="A26" s="387">
        <v>11</v>
      </c>
      <c r="B26" s="381" t="s">
        <v>234</v>
      </c>
      <c r="C26" s="378" t="s">
        <v>65</v>
      </c>
      <c r="D26" s="435"/>
      <c r="E26" s="436"/>
      <c r="F26" s="194">
        <v>13</v>
      </c>
      <c r="G26" s="197">
        <v>25</v>
      </c>
      <c r="H26" s="197"/>
      <c r="I26" s="196"/>
      <c r="J26" s="194"/>
      <c r="K26" s="182">
        <f t="shared" si="0"/>
        <v>25</v>
      </c>
      <c r="L26" s="194"/>
      <c r="M26" s="191"/>
    </row>
    <row r="27" spans="1:13" ht="12.75">
      <c r="A27" s="388"/>
      <c r="B27" s="386"/>
      <c r="C27" s="378" t="s">
        <v>64</v>
      </c>
      <c r="D27" s="396"/>
      <c r="E27" s="397"/>
      <c r="F27" s="194">
        <v>13</v>
      </c>
      <c r="G27" s="197">
        <v>25</v>
      </c>
      <c r="H27" s="197"/>
      <c r="I27" s="196"/>
      <c r="J27" s="194"/>
      <c r="K27" s="182">
        <f t="shared" si="0"/>
        <v>25</v>
      </c>
      <c r="L27" s="198">
        <v>10</v>
      </c>
      <c r="M27" s="191">
        <f t="shared" si="1"/>
        <v>10</v>
      </c>
    </row>
    <row r="28" spans="1:13" ht="12.75">
      <c r="A28" s="388"/>
      <c r="B28" s="386"/>
      <c r="C28" s="440" t="s">
        <v>235</v>
      </c>
      <c r="D28" s="441"/>
      <c r="E28" s="442"/>
      <c r="F28" s="194">
        <v>1</v>
      </c>
      <c r="G28" s="199">
        <v>5</v>
      </c>
      <c r="H28" s="199"/>
      <c r="I28" s="200"/>
      <c r="J28" s="201"/>
      <c r="K28" s="182">
        <f t="shared" si="0"/>
        <v>5</v>
      </c>
      <c r="L28" s="198"/>
      <c r="M28" s="191">
        <f t="shared" si="1"/>
        <v>0</v>
      </c>
    </row>
    <row r="29" spans="1:13" ht="12.75">
      <c r="A29" s="389"/>
      <c r="B29" s="382"/>
      <c r="C29" s="378" t="s">
        <v>139</v>
      </c>
      <c r="D29" s="435"/>
      <c r="E29" s="436"/>
      <c r="F29" s="194">
        <v>13</v>
      </c>
      <c r="G29" s="199">
        <v>25</v>
      </c>
      <c r="H29" s="199"/>
      <c r="I29" s="200"/>
      <c r="J29" s="201"/>
      <c r="K29" s="182">
        <f t="shared" si="0"/>
        <v>25</v>
      </c>
      <c r="L29" s="198"/>
      <c r="M29" s="191"/>
    </row>
    <row r="30" spans="1:13" ht="12.75">
      <c r="A30" s="213">
        <v>12</v>
      </c>
      <c r="B30" s="219" t="s">
        <v>148</v>
      </c>
      <c r="C30" s="378" t="s">
        <v>236</v>
      </c>
      <c r="D30" s="379"/>
      <c r="E30" s="380"/>
      <c r="F30" s="194">
        <v>1</v>
      </c>
      <c r="G30" s="199">
        <v>5</v>
      </c>
      <c r="H30" s="199"/>
      <c r="I30" s="200"/>
      <c r="J30" s="201"/>
      <c r="K30" s="182">
        <f t="shared" si="0"/>
        <v>5</v>
      </c>
      <c r="L30" s="198"/>
      <c r="M30" s="191">
        <f t="shared" si="1"/>
        <v>0</v>
      </c>
    </row>
    <row r="31" spans="1:13" ht="12.75">
      <c r="A31" s="387">
        <v>13</v>
      </c>
      <c r="B31" s="381" t="s">
        <v>237</v>
      </c>
      <c r="C31" s="378" t="s">
        <v>238</v>
      </c>
      <c r="D31" s="379"/>
      <c r="E31" s="380"/>
      <c r="F31" s="192">
        <v>9</v>
      </c>
      <c r="G31" s="202">
        <v>10</v>
      </c>
      <c r="H31" s="199"/>
      <c r="I31" s="200"/>
      <c r="J31" s="201"/>
      <c r="K31" s="182">
        <f t="shared" si="0"/>
        <v>10</v>
      </c>
      <c r="L31" s="198"/>
      <c r="M31" s="191">
        <f t="shared" si="1"/>
        <v>0</v>
      </c>
    </row>
    <row r="32" spans="1:13" ht="12.75">
      <c r="A32" s="388"/>
      <c r="B32" s="386"/>
      <c r="C32" s="378" t="s">
        <v>64</v>
      </c>
      <c r="D32" s="379"/>
      <c r="E32" s="380"/>
      <c r="F32" s="192">
        <v>9</v>
      </c>
      <c r="G32" s="202">
        <v>10</v>
      </c>
      <c r="H32" s="199"/>
      <c r="I32" s="200"/>
      <c r="J32" s="201"/>
      <c r="K32" s="182">
        <f t="shared" si="0"/>
        <v>10</v>
      </c>
      <c r="L32" s="198">
        <v>10</v>
      </c>
      <c r="M32" s="191">
        <f t="shared" si="1"/>
        <v>10</v>
      </c>
    </row>
    <row r="33" spans="1:13" ht="12.75">
      <c r="A33" s="389"/>
      <c r="B33" s="382"/>
      <c r="C33" s="378" t="s">
        <v>239</v>
      </c>
      <c r="D33" s="379"/>
      <c r="E33" s="380"/>
      <c r="F33" s="192">
        <v>9</v>
      </c>
      <c r="G33" s="202">
        <v>10</v>
      </c>
      <c r="H33" s="199"/>
      <c r="I33" s="200"/>
      <c r="J33" s="201"/>
      <c r="K33" s="182">
        <f t="shared" si="0"/>
        <v>10</v>
      </c>
      <c r="L33" s="198">
        <v>15</v>
      </c>
      <c r="M33" s="226">
        <f t="shared" si="1"/>
        <v>15</v>
      </c>
    </row>
    <row r="34" spans="1:13" ht="12.75">
      <c r="A34" s="387">
        <v>14</v>
      </c>
      <c r="B34" s="381" t="s">
        <v>240</v>
      </c>
      <c r="C34" s="378" t="s">
        <v>70</v>
      </c>
      <c r="D34" s="379"/>
      <c r="E34" s="380"/>
      <c r="F34" s="194">
        <v>1</v>
      </c>
      <c r="G34" s="195">
        <v>5</v>
      </c>
      <c r="H34" s="195"/>
      <c r="I34" s="11"/>
      <c r="J34" s="194"/>
      <c r="K34" s="182">
        <f t="shared" si="0"/>
        <v>5</v>
      </c>
      <c r="L34" s="198">
        <v>10</v>
      </c>
      <c r="M34" s="191">
        <f t="shared" si="1"/>
        <v>10</v>
      </c>
    </row>
    <row r="35" spans="1:13" ht="12.75">
      <c r="A35" s="388"/>
      <c r="B35" s="386"/>
      <c r="C35" s="378" t="s">
        <v>241</v>
      </c>
      <c r="D35" s="435"/>
      <c r="E35" s="436"/>
      <c r="F35" s="194">
        <v>8</v>
      </c>
      <c r="G35" s="203">
        <v>10</v>
      </c>
      <c r="H35" s="195"/>
      <c r="I35" s="11"/>
      <c r="J35" s="194"/>
      <c r="K35" s="182">
        <f t="shared" si="0"/>
        <v>10</v>
      </c>
      <c r="L35" s="198"/>
      <c r="M35" s="191">
        <f t="shared" si="1"/>
        <v>0</v>
      </c>
    </row>
    <row r="36" spans="1:13" ht="12.75">
      <c r="A36" s="389"/>
      <c r="B36" s="382"/>
      <c r="C36" s="378"/>
      <c r="D36" s="379"/>
      <c r="E36" s="380"/>
      <c r="F36" s="194"/>
      <c r="G36" s="203"/>
      <c r="H36" s="195"/>
      <c r="I36" s="11"/>
      <c r="J36" s="194"/>
      <c r="K36" s="182"/>
      <c r="L36" s="198"/>
      <c r="M36" s="191"/>
    </row>
    <row r="37" spans="1:13" ht="12.75">
      <c r="A37" s="387">
        <v>15</v>
      </c>
      <c r="B37" s="381" t="s">
        <v>242</v>
      </c>
      <c r="C37" s="378" t="s">
        <v>243</v>
      </c>
      <c r="D37" s="379"/>
      <c r="E37" s="380"/>
      <c r="F37" s="194">
        <v>19</v>
      </c>
      <c r="G37" s="195">
        <v>25</v>
      </c>
      <c r="H37" s="195"/>
      <c r="I37" s="11"/>
      <c r="J37" s="194"/>
      <c r="K37" s="182">
        <f t="shared" si="0"/>
        <v>25</v>
      </c>
      <c r="L37" s="198">
        <v>10</v>
      </c>
      <c r="M37" s="191">
        <f t="shared" si="1"/>
        <v>10</v>
      </c>
    </row>
    <row r="38" spans="1:13" ht="12.75">
      <c r="A38" s="389"/>
      <c r="B38" s="382"/>
      <c r="C38" s="378" t="s">
        <v>69</v>
      </c>
      <c r="D38" s="379"/>
      <c r="E38" s="380"/>
      <c r="F38" s="194">
        <v>6</v>
      </c>
      <c r="G38" s="195">
        <v>15</v>
      </c>
      <c r="H38" s="195"/>
      <c r="I38" s="11"/>
      <c r="J38" s="194"/>
      <c r="K38" s="182">
        <f t="shared" si="0"/>
        <v>15</v>
      </c>
      <c r="L38" s="198"/>
      <c r="M38" s="191">
        <f t="shared" si="1"/>
        <v>0</v>
      </c>
    </row>
    <row r="39" spans="1:13" ht="12.75">
      <c r="A39" s="387">
        <v>16</v>
      </c>
      <c r="B39" s="381" t="s">
        <v>177</v>
      </c>
      <c r="C39" s="378" t="s">
        <v>68</v>
      </c>
      <c r="D39" s="379"/>
      <c r="E39" s="380"/>
      <c r="F39" s="194">
        <v>1</v>
      </c>
      <c r="G39" s="195">
        <v>5</v>
      </c>
      <c r="H39" s="195"/>
      <c r="I39" s="11">
        <v>20</v>
      </c>
      <c r="J39" s="194">
        <v>10</v>
      </c>
      <c r="K39" s="182">
        <f t="shared" si="0"/>
        <v>35</v>
      </c>
      <c r="L39" s="198"/>
      <c r="M39" s="191">
        <f t="shared" si="1"/>
        <v>0</v>
      </c>
    </row>
    <row r="40" spans="1:13" ht="12.75">
      <c r="A40" s="388"/>
      <c r="B40" s="386"/>
      <c r="C40" s="378" t="s">
        <v>244</v>
      </c>
      <c r="D40" s="379"/>
      <c r="E40" s="380"/>
      <c r="F40" s="194">
        <v>1</v>
      </c>
      <c r="G40" s="195">
        <v>5</v>
      </c>
      <c r="H40" s="195"/>
      <c r="I40" s="196">
        <v>20</v>
      </c>
      <c r="J40" s="194">
        <v>10</v>
      </c>
      <c r="K40" s="182">
        <f t="shared" si="0"/>
        <v>35</v>
      </c>
      <c r="L40" s="194">
        <v>10</v>
      </c>
      <c r="M40" s="191">
        <f t="shared" si="1"/>
        <v>10</v>
      </c>
    </row>
    <row r="41" spans="1:13" ht="12.75">
      <c r="A41" s="388"/>
      <c r="B41" s="386"/>
      <c r="C41" s="378" t="s">
        <v>67</v>
      </c>
      <c r="D41" s="379"/>
      <c r="E41" s="380"/>
      <c r="F41" s="194">
        <v>1</v>
      </c>
      <c r="G41" s="195">
        <v>5</v>
      </c>
      <c r="H41" s="195"/>
      <c r="I41" s="196">
        <v>20</v>
      </c>
      <c r="J41" s="194">
        <v>5</v>
      </c>
      <c r="K41" s="182">
        <f t="shared" si="0"/>
        <v>30</v>
      </c>
      <c r="L41" s="198"/>
      <c r="M41" s="191">
        <f t="shared" si="1"/>
        <v>0</v>
      </c>
    </row>
    <row r="42" spans="1:13" ht="12.75">
      <c r="A42" s="389"/>
      <c r="B42" s="382"/>
      <c r="C42" s="378" t="s">
        <v>245</v>
      </c>
      <c r="D42" s="379"/>
      <c r="E42" s="380"/>
      <c r="F42" s="194">
        <v>1</v>
      </c>
      <c r="G42" s="195">
        <v>5</v>
      </c>
      <c r="H42" s="195"/>
      <c r="I42" s="196">
        <v>20</v>
      </c>
      <c r="J42" s="194">
        <v>10</v>
      </c>
      <c r="K42" s="182">
        <f t="shared" si="0"/>
        <v>35</v>
      </c>
      <c r="L42" s="198"/>
      <c r="M42" s="191">
        <f t="shared" si="1"/>
        <v>0</v>
      </c>
    </row>
    <row r="43" spans="1:13" ht="12.75">
      <c r="A43" s="214">
        <v>17</v>
      </c>
      <c r="B43" s="219" t="s">
        <v>246</v>
      </c>
      <c r="C43" s="378" t="s">
        <v>139</v>
      </c>
      <c r="D43" s="379"/>
      <c r="E43" s="380"/>
      <c r="F43" s="194">
        <v>3</v>
      </c>
      <c r="G43" s="195">
        <v>5</v>
      </c>
      <c r="H43" s="195"/>
      <c r="I43" s="196">
        <v>20</v>
      </c>
      <c r="J43" s="194"/>
      <c r="K43" s="182">
        <f t="shared" si="0"/>
        <v>25</v>
      </c>
      <c r="L43" s="198">
        <v>15</v>
      </c>
      <c r="M43" s="191">
        <f t="shared" si="1"/>
        <v>15</v>
      </c>
    </row>
    <row r="44" spans="1:13" ht="12.75">
      <c r="A44" s="387">
        <v>18</v>
      </c>
      <c r="B44" s="381" t="s">
        <v>140</v>
      </c>
      <c r="C44" s="378" t="s">
        <v>247</v>
      </c>
      <c r="D44" s="379"/>
      <c r="E44" s="380"/>
      <c r="F44" s="194">
        <v>26</v>
      </c>
      <c r="G44" s="195">
        <v>25</v>
      </c>
      <c r="H44" s="195"/>
      <c r="I44" s="196"/>
      <c r="J44" s="194">
        <v>20</v>
      </c>
      <c r="K44" s="182">
        <f t="shared" si="0"/>
        <v>45</v>
      </c>
      <c r="L44" s="198">
        <v>10</v>
      </c>
      <c r="M44" s="191">
        <f t="shared" si="1"/>
        <v>10</v>
      </c>
    </row>
    <row r="45" spans="1:13" ht="12.75">
      <c r="A45" s="388"/>
      <c r="B45" s="386"/>
      <c r="C45" s="378" t="s">
        <v>248</v>
      </c>
      <c r="D45" s="379"/>
      <c r="E45" s="380"/>
      <c r="F45" s="194"/>
      <c r="G45" s="195"/>
      <c r="H45" s="195"/>
      <c r="I45" s="196"/>
      <c r="J45" s="194"/>
      <c r="K45" s="182"/>
      <c r="L45" s="198"/>
      <c r="M45" s="191"/>
    </row>
    <row r="46" spans="1:13" ht="12.75">
      <c r="A46" s="389"/>
      <c r="B46" s="382"/>
      <c r="C46" s="383" t="s">
        <v>249</v>
      </c>
      <c r="D46" s="384"/>
      <c r="E46" s="385"/>
      <c r="F46" s="194"/>
      <c r="G46" s="195"/>
      <c r="H46" s="195"/>
      <c r="I46" s="196"/>
      <c r="J46" s="194"/>
      <c r="K46" s="182"/>
      <c r="L46" s="198"/>
      <c r="M46" s="191"/>
    </row>
    <row r="47" spans="1:13" ht="12.75">
      <c r="A47" s="215">
        <v>19</v>
      </c>
      <c r="B47" s="219" t="s">
        <v>142</v>
      </c>
      <c r="C47" s="378" t="s">
        <v>144</v>
      </c>
      <c r="D47" s="379"/>
      <c r="E47" s="380"/>
      <c r="F47" s="194">
        <v>16</v>
      </c>
      <c r="G47" s="195">
        <v>25</v>
      </c>
      <c r="H47" s="195"/>
      <c r="I47" s="196"/>
      <c r="J47" s="194">
        <v>20</v>
      </c>
      <c r="K47" s="182">
        <f t="shared" si="0"/>
        <v>45</v>
      </c>
      <c r="L47" s="198">
        <v>10</v>
      </c>
      <c r="M47" s="191">
        <f t="shared" si="1"/>
        <v>10</v>
      </c>
    </row>
    <row r="48" spans="1:13" ht="12.75">
      <c r="A48" s="214">
        <v>20</v>
      </c>
      <c r="B48" s="219" t="s">
        <v>143</v>
      </c>
      <c r="C48" s="383" t="s">
        <v>141</v>
      </c>
      <c r="D48" s="384"/>
      <c r="E48" s="385"/>
      <c r="F48" s="194">
        <v>28</v>
      </c>
      <c r="G48" s="195">
        <v>25</v>
      </c>
      <c r="H48" s="195"/>
      <c r="I48" s="196"/>
      <c r="J48" s="194">
        <v>20</v>
      </c>
      <c r="K48" s="182">
        <f t="shared" si="0"/>
        <v>45</v>
      </c>
      <c r="L48" s="194">
        <v>10</v>
      </c>
      <c r="M48" s="191">
        <f t="shared" si="1"/>
        <v>10</v>
      </c>
    </row>
    <row r="49" spans="1:13" ht="12.75">
      <c r="A49" s="375">
        <v>21</v>
      </c>
      <c r="B49" s="381" t="s">
        <v>250</v>
      </c>
      <c r="C49" s="383"/>
      <c r="D49" s="384"/>
      <c r="E49" s="385"/>
      <c r="F49" s="204">
        <v>22</v>
      </c>
      <c r="G49" s="195">
        <v>25</v>
      </c>
      <c r="H49" s="195"/>
      <c r="I49" s="196"/>
      <c r="J49" s="204"/>
      <c r="K49" s="182">
        <f>J49+I49+H49+G49</f>
        <v>25</v>
      </c>
      <c r="L49" s="204"/>
      <c r="M49" s="266">
        <f>L49</f>
        <v>0</v>
      </c>
    </row>
    <row r="50" spans="1:13" ht="12.75">
      <c r="A50" s="377"/>
      <c r="B50" s="382"/>
      <c r="C50" s="378" t="s">
        <v>251</v>
      </c>
      <c r="D50" s="379"/>
      <c r="E50" s="380"/>
      <c r="F50" s="194">
        <v>22</v>
      </c>
      <c r="G50" s="195">
        <v>25</v>
      </c>
      <c r="H50" s="195"/>
      <c r="I50" s="196"/>
      <c r="J50" s="194">
        <v>20</v>
      </c>
      <c r="K50" s="182">
        <f t="shared" si="0"/>
        <v>45</v>
      </c>
      <c r="L50" s="194">
        <v>10</v>
      </c>
      <c r="M50" s="191">
        <f t="shared" si="1"/>
        <v>10</v>
      </c>
    </row>
    <row r="51" spans="1:13" ht="12.75">
      <c r="A51" s="214">
        <v>22</v>
      </c>
      <c r="B51" s="219" t="s">
        <v>252</v>
      </c>
      <c r="C51" s="437" t="s">
        <v>145</v>
      </c>
      <c r="D51" s="437"/>
      <c r="E51" s="437"/>
      <c r="F51" s="194">
        <v>8</v>
      </c>
      <c r="G51" s="195">
        <v>10</v>
      </c>
      <c r="H51" s="195"/>
      <c r="I51" s="196"/>
      <c r="J51" s="194"/>
      <c r="K51" s="182">
        <f t="shared" si="0"/>
        <v>10</v>
      </c>
      <c r="L51" s="194"/>
      <c r="M51" s="191">
        <f t="shared" si="1"/>
        <v>0</v>
      </c>
    </row>
    <row r="52" spans="1:13" ht="12.75">
      <c r="A52" s="214">
        <v>23</v>
      </c>
      <c r="B52" s="219" t="s">
        <v>253</v>
      </c>
      <c r="C52" s="437" t="s">
        <v>254</v>
      </c>
      <c r="D52" s="437"/>
      <c r="E52" s="437"/>
      <c r="F52" s="194">
        <v>3</v>
      </c>
      <c r="G52" s="195">
        <v>5</v>
      </c>
      <c r="H52" s="195"/>
      <c r="I52" s="196"/>
      <c r="J52" s="194"/>
      <c r="K52" s="182">
        <f t="shared" si="0"/>
        <v>5</v>
      </c>
      <c r="L52" s="198"/>
      <c r="M52" s="191">
        <f t="shared" si="1"/>
        <v>0</v>
      </c>
    </row>
    <row r="53" spans="1:13" ht="12.75">
      <c r="A53" s="214">
        <v>24</v>
      </c>
      <c r="B53" s="219" t="s">
        <v>255</v>
      </c>
      <c r="C53" s="378" t="s">
        <v>179</v>
      </c>
      <c r="D53" s="379"/>
      <c r="E53" s="380"/>
      <c r="F53" s="194">
        <v>6</v>
      </c>
      <c r="G53" s="195">
        <v>15</v>
      </c>
      <c r="H53" s="195"/>
      <c r="I53" s="196"/>
      <c r="J53" s="194"/>
      <c r="K53" s="182">
        <f t="shared" si="0"/>
        <v>15</v>
      </c>
      <c r="L53" s="198"/>
      <c r="M53" s="191">
        <f t="shared" si="1"/>
        <v>0</v>
      </c>
    </row>
    <row r="54" spans="1:13" ht="12.75">
      <c r="A54" s="214">
        <v>25</v>
      </c>
      <c r="B54" s="219" t="s">
        <v>256</v>
      </c>
      <c r="C54" s="378" t="s">
        <v>146</v>
      </c>
      <c r="D54" s="379"/>
      <c r="E54" s="380"/>
      <c r="F54" s="204"/>
      <c r="G54" s="195">
        <v>25</v>
      </c>
      <c r="H54" s="195"/>
      <c r="I54" s="196"/>
      <c r="J54" s="194"/>
      <c r="K54" s="182">
        <f t="shared" si="0"/>
        <v>25</v>
      </c>
      <c r="L54" s="194"/>
      <c r="M54" s="191">
        <f t="shared" si="1"/>
        <v>0</v>
      </c>
    </row>
    <row r="55" spans="1:13" ht="12.75">
      <c r="A55" s="214">
        <v>26</v>
      </c>
      <c r="B55" s="219" t="s">
        <v>257</v>
      </c>
      <c r="C55" s="378" t="s">
        <v>146</v>
      </c>
      <c r="D55" s="379"/>
      <c r="E55" s="380"/>
      <c r="F55" s="201">
        <v>39</v>
      </c>
      <c r="G55" s="195">
        <v>25</v>
      </c>
      <c r="H55" s="195"/>
      <c r="I55" s="196"/>
      <c r="J55" s="194"/>
      <c r="K55" s="182">
        <f t="shared" si="0"/>
        <v>25</v>
      </c>
      <c r="L55" s="194"/>
      <c r="M55" s="191">
        <f t="shared" si="1"/>
        <v>0</v>
      </c>
    </row>
    <row r="56" spans="1:13" ht="12.75">
      <c r="A56" s="214">
        <v>27</v>
      </c>
      <c r="B56" s="219" t="s">
        <v>258</v>
      </c>
      <c r="C56" s="378" t="s">
        <v>146</v>
      </c>
      <c r="D56" s="379"/>
      <c r="E56" s="380"/>
      <c r="F56" s="201">
        <v>14</v>
      </c>
      <c r="G56" s="195">
        <v>25</v>
      </c>
      <c r="H56" s="195"/>
      <c r="I56" s="196"/>
      <c r="J56" s="194"/>
      <c r="K56" s="182">
        <f t="shared" si="0"/>
        <v>25</v>
      </c>
      <c r="L56" s="198"/>
      <c r="M56" s="191">
        <f>L56</f>
        <v>0</v>
      </c>
    </row>
    <row r="57" spans="1:13" ht="12.75">
      <c r="A57" s="214">
        <v>28</v>
      </c>
      <c r="B57" s="216" t="s">
        <v>259</v>
      </c>
      <c r="C57" s="443" t="s">
        <v>146</v>
      </c>
      <c r="D57" s="396"/>
      <c r="E57" s="397"/>
      <c r="F57" s="205">
        <v>36</v>
      </c>
      <c r="G57" s="206">
        <v>25</v>
      </c>
      <c r="H57" s="206"/>
      <c r="I57" s="207"/>
      <c r="J57" s="197"/>
      <c r="K57" s="182">
        <f t="shared" si="0"/>
        <v>25</v>
      </c>
      <c r="L57" s="194"/>
      <c r="M57" s="191"/>
    </row>
    <row r="58" spans="1:13" ht="13.5">
      <c r="A58" s="216">
        <v>29</v>
      </c>
      <c r="B58" s="212" t="s">
        <v>260</v>
      </c>
      <c r="C58" s="392" t="s">
        <v>180</v>
      </c>
      <c r="D58" s="393"/>
      <c r="E58" s="394"/>
      <c r="F58" s="180">
        <v>12</v>
      </c>
      <c r="G58" s="180">
        <v>15</v>
      </c>
      <c r="H58" s="179"/>
      <c r="I58" s="181"/>
      <c r="J58" s="179"/>
      <c r="K58" s="182">
        <f t="shared" si="0"/>
        <v>15</v>
      </c>
      <c r="L58" s="183"/>
      <c r="M58" s="183"/>
    </row>
    <row r="59" spans="1:13" ht="13.5">
      <c r="A59" s="216">
        <v>30</v>
      </c>
      <c r="B59" s="320" t="s">
        <v>290</v>
      </c>
      <c r="C59" s="392" t="s">
        <v>147</v>
      </c>
      <c r="D59" s="435"/>
      <c r="E59" s="436"/>
      <c r="F59" s="180">
        <v>19</v>
      </c>
      <c r="G59" s="180">
        <v>25</v>
      </c>
      <c r="H59" s="179"/>
      <c r="I59" s="181"/>
      <c r="J59" s="179"/>
      <c r="K59" s="182">
        <f t="shared" si="0"/>
        <v>25</v>
      </c>
      <c r="L59" s="183"/>
      <c r="M59" s="183"/>
    </row>
    <row r="60" spans="1:13" ht="13.5">
      <c r="A60" s="212">
        <v>31</v>
      </c>
      <c r="B60" s="212" t="s">
        <v>261</v>
      </c>
      <c r="C60" s="392" t="s">
        <v>147</v>
      </c>
      <c r="D60" s="393"/>
      <c r="E60" s="394"/>
      <c r="F60" s="180">
        <v>12</v>
      </c>
      <c r="G60" s="180">
        <v>15</v>
      </c>
      <c r="H60" s="179"/>
      <c r="I60" s="181"/>
      <c r="J60" s="179"/>
      <c r="K60" s="182">
        <f t="shared" si="0"/>
        <v>15</v>
      </c>
      <c r="L60" s="183"/>
      <c r="M60" s="183"/>
    </row>
    <row r="61" spans="1:13" ht="13.5">
      <c r="A61" s="212">
        <v>32</v>
      </c>
      <c r="B61" s="212" t="s">
        <v>262</v>
      </c>
      <c r="C61" s="392" t="s">
        <v>263</v>
      </c>
      <c r="D61" s="393"/>
      <c r="E61" s="394"/>
      <c r="F61" s="180">
        <v>8</v>
      </c>
      <c r="G61" s="180">
        <v>15</v>
      </c>
      <c r="H61" s="179"/>
      <c r="I61" s="181"/>
      <c r="J61" s="179"/>
      <c r="K61" s="182">
        <f t="shared" si="0"/>
        <v>15</v>
      </c>
      <c r="L61" s="183"/>
      <c r="M61" s="183"/>
    </row>
    <row r="62" spans="1:13" ht="13.5">
      <c r="A62" s="212">
        <v>33</v>
      </c>
      <c r="B62" s="212" t="s">
        <v>264</v>
      </c>
      <c r="C62" s="392" t="s">
        <v>149</v>
      </c>
      <c r="D62" s="393"/>
      <c r="E62" s="394"/>
      <c r="F62" s="180">
        <v>11</v>
      </c>
      <c r="G62" s="180">
        <v>25</v>
      </c>
      <c r="H62" s="179"/>
      <c r="I62" s="181"/>
      <c r="J62" s="179"/>
      <c r="K62" s="182">
        <f t="shared" si="0"/>
        <v>25</v>
      </c>
      <c r="L62" s="183"/>
      <c r="M62" s="183"/>
    </row>
    <row r="63" spans="1:13" ht="13.5">
      <c r="A63" s="212">
        <v>34</v>
      </c>
      <c r="B63" s="212" t="s">
        <v>265</v>
      </c>
      <c r="C63" s="392" t="s">
        <v>149</v>
      </c>
      <c r="D63" s="393"/>
      <c r="E63" s="394"/>
      <c r="F63" s="225">
        <v>11</v>
      </c>
      <c r="G63" s="180">
        <v>25</v>
      </c>
      <c r="H63" s="179"/>
      <c r="I63" s="181"/>
      <c r="J63" s="179"/>
      <c r="K63" s="182">
        <f t="shared" si="0"/>
        <v>25</v>
      </c>
      <c r="L63" s="179"/>
      <c r="M63" s="183"/>
    </row>
    <row r="64" spans="1:13" ht="13.5">
      <c r="A64" s="212">
        <v>35</v>
      </c>
      <c r="B64" s="212" t="s">
        <v>246</v>
      </c>
      <c r="C64" s="392" t="s">
        <v>266</v>
      </c>
      <c r="D64" s="393"/>
      <c r="E64" s="394"/>
      <c r="F64" s="225">
        <v>3</v>
      </c>
      <c r="G64" s="180">
        <v>5</v>
      </c>
      <c r="H64" s="179"/>
      <c r="I64" s="181"/>
      <c r="J64" s="179"/>
      <c r="K64" s="182">
        <f t="shared" si="0"/>
        <v>5</v>
      </c>
      <c r="L64" s="179"/>
      <c r="M64" s="183"/>
    </row>
    <row r="65" spans="1:13" ht="12.75">
      <c r="A65" s="217">
        <v>36</v>
      </c>
      <c r="B65" s="217" t="s">
        <v>287</v>
      </c>
      <c r="C65" s="422" t="s">
        <v>266</v>
      </c>
      <c r="D65" s="422"/>
      <c r="E65" s="422"/>
      <c r="F65" s="238">
        <v>25</v>
      </c>
      <c r="G65" s="208">
        <v>25</v>
      </c>
      <c r="H65" s="209"/>
      <c r="I65" s="210"/>
      <c r="J65" s="209"/>
      <c r="K65" s="182">
        <f t="shared" si="0"/>
        <v>25</v>
      </c>
      <c r="L65" s="209"/>
      <c r="M65" s="73"/>
    </row>
    <row r="66" spans="1:13" ht="12.75">
      <c r="A66" s="217">
        <v>37</v>
      </c>
      <c r="B66" s="217" t="s">
        <v>267</v>
      </c>
      <c r="C66" s="422" t="s">
        <v>266</v>
      </c>
      <c r="D66" s="422"/>
      <c r="E66" s="422"/>
      <c r="F66" s="238">
        <v>20</v>
      </c>
      <c r="G66" s="208">
        <v>25</v>
      </c>
      <c r="H66" s="209"/>
      <c r="I66" s="210"/>
      <c r="J66" s="209"/>
      <c r="K66" s="182">
        <f t="shared" si="0"/>
        <v>25</v>
      </c>
      <c r="L66" s="209"/>
      <c r="M66" s="73"/>
    </row>
    <row r="67" spans="1:13" ht="12.75">
      <c r="A67" s="217">
        <v>38</v>
      </c>
      <c r="B67" s="217" t="s">
        <v>237</v>
      </c>
      <c r="C67" s="422" t="s">
        <v>266</v>
      </c>
      <c r="D67" s="422"/>
      <c r="E67" s="422"/>
      <c r="F67" s="238">
        <v>9</v>
      </c>
      <c r="G67" s="208">
        <v>10</v>
      </c>
      <c r="H67" s="209"/>
      <c r="I67" s="210"/>
      <c r="J67" s="209"/>
      <c r="K67" s="182">
        <f t="shared" si="0"/>
        <v>10</v>
      </c>
      <c r="L67" s="209"/>
      <c r="M67" s="73"/>
    </row>
    <row r="68" spans="1:13" ht="12.75">
      <c r="A68" s="212">
        <v>39</v>
      </c>
      <c r="B68" s="320" t="s">
        <v>287</v>
      </c>
      <c r="C68" s="392" t="s">
        <v>175</v>
      </c>
      <c r="D68" s="393"/>
      <c r="E68" s="394"/>
      <c r="F68" s="225">
        <v>25</v>
      </c>
      <c r="G68" s="180">
        <v>25</v>
      </c>
      <c r="H68" s="179"/>
      <c r="I68" s="181"/>
      <c r="J68" s="179"/>
      <c r="K68" s="182">
        <f t="shared" si="0"/>
        <v>25</v>
      </c>
      <c r="L68" s="179"/>
      <c r="M68" s="179"/>
    </row>
    <row r="69" spans="1:13" ht="12.75">
      <c r="A69" s="217">
        <v>40</v>
      </c>
      <c r="B69" s="320" t="s">
        <v>291</v>
      </c>
      <c r="C69" s="392" t="s">
        <v>268</v>
      </c>
      <c r="D69" s="393"/>
      <c r="E69" s="394"/>
      <c r="F69" s="180">
        <v>1</v>
      </c>
      <c r="G69" s="180">
        <v>5</v>
      </c>
      <c r="H69" s="179"/>
      <c r="I69" s="181"/>
      <c r="J69" s="179"/>
      <c r="K69" s="182">
        <f t="shared" si="0"/>
        <v>5</v>
      </c>
      <c r="L69" s="179"/>
      <c r="M69" s="179"/>
    </row>
    <row r="70" spans="3:5" ht="12.75">
      <c r="C70" s="444"/>
      <c r="D70" s="444"/>
      <c r="E70" s="444"/>
    </row>
  </sheetData>
  <sheetProtection/>
  <mergeCells count="105">
    <mergeCell ref="C67:E67"/>
    <mergeCell ref="C68:E68"/>
    <mergeCell ref="C69:E69"/>
    <mergeCell ref="C70:E70"/>
    <mergeCell ref="C61:E61"/>
    <mergeCell ref="C62:E62"/>
    <mergeCell ref="C63:E63"/>
    <mergeCell ref="C64:E64"/>
    <mergeCell ref="C65:E65"/>
    <mergeCell ref="C66:E66"/>
    <mergeCell ref="C55:E55"/>
    <mergeCell ref="C56:E56"/>
    <mergeCell ref="C57:E57"/>
    <mergeCell ref="C58:E58"/>
    <mergeCell ref="C59:E59"/>
    <mergeCell ref="C60:E60"/>
    <mergeCell ref="C50:E50"/>
    <mergeCell ref="C45:E45"/>
    <mergeCell ref="C51:E51"/>
    <mergeCell ref="C52:E52"/>
    <mergeCell ref="C53:E53"/>
    <mergeCell ref="C54:E54"/>
    <mergeCell ref="B39:B42"/>
    <mergeCell ref="C43:E43"/>
    <mergeCell ref="C44:E44"/>
    <mergeCell ref="C46:E46"/>
    <mergeCell ref="C47:E47"/>
    <mergeCell ref="C48:E48"/>
    <mergeCell ref="C33:E33"/>
    <mergeCell ref="A37:A38"/>
    <mergeCell ref="C37:E37"/>
    <mergeCell ref="C38:E38"/>
    <mergeCell ref="A39:A42"/>
    <mergeCell ref="C39:E39"/>
    <mergeCell ref="C40:E40"/>
    <mergeCell ref="C41:E41"/>
    <mergeCell ref="C42:E42"/>
    <mergeCell ref="B37:B38"/>
    <mergeCell ref="A26:A29"/>
    <mergeCell ref="C31:E31"/>
    <mergeCell ref="C32:E32"/>
    <mergeCell ref="C34:E34"/>
    <mergeCell ref="C35:E35"/>
    <mergeCell ref="B31:B33"/>
    <mergeCell ref="A31:A33"/>
    <mergeCell ref="B34:B36"/>
    <mergeCell ref="A34:A36"/>
    <mergeCell ref="C36:E36"/>
    <mergeCell ref="C25:E25"/>
    <mergeCell ref="C26:E26"/>
    <mergeCell ref="C27:E27"/>
    <mergeCell ref="C28:E28"/>
    <mergeCell ref="C29:E29"/>
    <mergeCell ref="C30:E30"/>
    <mergeCell ref="A19:A20"/>
    <mergeCell ref="C19:E19"/>
    <mergeCell ref="C20:E20"/>
    <mergeCell ref="C21:E21"/>
    <mergeCell ref="C22:E22"/>
    <mergeCell ref="C24:E24"/>
    <mergeCell ref="A21:A22"/>
    <mergeCell ref="B21:B22"/>
    <mergeCell ref="C9:E9"/>
    <mergeCell ref="C10:E10"/>
    <mergeCell ref="A11:A13"/>
    <mergeCell ref="C11:E11"/>
    <mergeCell ref="C12:E12"/>
    <mergeCell ref="C13:E13"/>
    <mergeCell ref="B8:B10"/>
    <mergeCell ref="L3:M3"/>
    <mergeCell ref="F4:F5"/>
    <mergeCell ref="G4:G5"/>
    <mergeCell ref="I4:I5"/>
    <mergeCell ref="J4:J5"/>
    <mergeCell ref="K4:K5"/>
    <mergeCell ref="L4:L5"/>
    <mergeCell ref="M4:M5"/>
    <mergeCell ref="B26:B29"/>
    <mergeCell ref="C1:K1"/>
    <mergeCell ref="C2:I2"/>
    <mergeCell ref="A3:A5"/>
    <mergeCell ref="B3:B5"/>
    <mergeCell ref="C3:E5"/>
    <mergeCell ref="F3:K3"/>
    <mergeCell ref="C7:E7"/>
    <mergeCell ref="A8:A10"/>
    <mergeCell ref="C8:E8"/>
    <mergeCell ref="C14:E14"/>
    <mergeCell ref="C15:E15"/>
    <mergeCell ref="C16:E16"/>
    <mergeCell ref="B11:B13"/>
    <mergeCell ref="B14:B15"/>
    <mergeCell ref="B19:B20"/>
    <mergeCell ref="C17:E17"/>
    <mergeCell ref="C18:E18"/>
    <mergeCell ref="C6:E6"/>
    <mergeCell ref="B23:B25"/>
    <mergeCell ref="A23:A25"/>
    <mergeCell ref="C23:E23"/>
    <mergeCell ref="A49:A50"/>
    <mergeCell ref="B49:B50"/>
    <mergeCell ref="C49:E49"/>
    <mergeCell ref="B44:B46"/>
    <mergeCell ref="A44:A46"/>
    <mergeCell ref="A14:A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14"/>
  <sheetViews>
    <sheetView view="pageBreakPreview" zoomScaleSheetLayoutView="100" zoomScalePageLayoutView="0" workbookViewId="0" topLeftCell="A1">
      <selection activeCell="H13" sqref="H13"/>
    </sheetView>
  </sheetViews>
  <sheetFormatPr defaultColWidth="9.140625" defaultRowHeight="12.75"/>
  <sheetData>
    <row r="2" ht="18">
      <c r="F2" s="6" t="s">
        <v>151</v>
      </c>
    </row>
    <row r="4" spans="1:11" ht="12.75">
      <c r="A4" s="408" t="s">
        <v>60</v>
      </c>
      <c r="B4" s="408" t="s">
        <v>21</v>
      </c>
      <c r="C4" s="408"/>
      <c r="D4" s="408"/>
      <c r="E4" s="408" t="s">
        <v>61</v>
      </c>
      <c r="F4" s="408"/>
      <c r="G4" s="408"/>
      <c r="H4" s="455" t="s">
        <v>152</v>
      </c>
      <c r="I4" s="421" t="s">
        <v>134</v>
      </c>
      <c r="J4" s="421"/>
      <c r="K4" s="421"/>
    </row>
    <row r="5" spans="1:11" ht="12.75" customHeight="1">
      <c r="A5" s="408"/>
      <c r="B5" s="408"/>
      <c r="C5" s="408"/>
      <c r="D5" s="408"/>
      <c r="E5" s="408"/>
      <c r="F5" s="408"/>
      <c r="G5" s="408"/>
      <c r="H5" s="456"/>
      <c r="I5" s="426" t="s">
        <v>135</v>
      </c>
      <c r="J5" s="426" t="s">
        <v>153</v>
      </c>
      <c r="K5" s="429" t="s">
        <v>63</v>
      </c>
    </row>
    <row r="6" spans="1:11" ht="12.75">
      <c r="A6" s="408"/>
      <c r="B6" s="408"/>
      <c r="C6" s="408"/>
      <c r="D6" s="408"/>
      <c r="E6" s="408"/>
      <c r="F6" s="408"/>
      <c r="G6" s="408"/>
      <c r="H6" s="457"/>
      <c r="I6" s="426"/>
      <c r="J6" s="426"/>
      <c r="K6" s="430"/>
    </row>
    <row r="7" spans="1:11" ht="13.5">
      <c r="A7" s="7">
        <v>1</v>
      </c>
      <c r="B7" s="447" t="s">
        <v>154</v>
      </c>
      <c r="C7" s="448"/>
      <c r="D7" s="449"/>
      <c r="E7" s="450" t="s">
        <v>155</v>
      </c>
      <c r="F7" s="451"/>
      <c r="G7" s="452"/>
      <c r="H7" s="241">
        <v>0.5</v>
      </c>
      <c r="I7" s="242">
        <v>8</v>
      </c>
      <c r="J7" s="243">
        <v>15</v>
      </c>
      <c r="K7" s="239">
        <f aca="true" t="shared" si="0" ref="K7:K12">J7</f>
        <v>15</v>
      </c>
    </row>
    <row r="8" spans="1:11" ht="13.5">
      <c r="A8" s="7">
        <v>2</v>
      </c>
      <c r="B8" s="447" t="s">
        <v>154</v>
      </c>
      <c r="C8" s="448"/>
      <c r="D8" s="449"/>
      <c r="E8" s="450" t="s">
        <v>157</v>
      </c>
      <c r="F8" s="451"/>
      <c r="G8" s="452"/>
      <c r="H8" s="241">
        <v>0.5</v>
      </c>
      <c r="I8" s="242">
        <v>8</v>
      </c>
      <c r="J8" s="243">
        <v>15</v>
      </c>
      <c r="K8" s="239">
        <f t="shared" si="0"/>
        <v>15</v>
      </c>
    </row>
    <row r="9" spans="1:11" ht="13.5">
      <c r="A9" s="7">
        <v>3</v>
      </c>
      <c r="B9" s="447" t="s">
        <v>158</v>
      </c>
      <c r="C9" s="448"/>
      <c r="D9" s="449"/>
      <c r="E9" s="450" t="s">
        <v>157</v>
      </c>
      <c r="F9" s="451"/>
      <c r="G9" s="452"/>
      <c r="H9" s="241">
        <v>1</v>
      </c>
      <c r="I9" s="242">
        <v>3</v>
      </c>
      <c r="J9" s="243">
        <v>5</v>
      </c>
      <c r="K9" s="239">
        <f t="shared" si="0"/>
        <v>5</v>
      </c>
    </row>
    <row r="10" spans="1:11" ht="13.5">
      <c r="A10" s="4">
        <v>5</v>
      </c>
      <c r="B10" s="453" t="s">
        <v>212</v>
      </c>
      <c r="C10" s="454"/>
      <c r="D10" s="454"/>
      <c r="E10" s="446" t="s">
        <v>159</v>
      </c>
      <c r="F10" s="446"/>
      <c r="G10" s="446"/>
      <c r="H10" s="244">
        <v>0.25</v>
      </c>
      <c r="I10" s="244">
        <v>15</v>
      </c>
      <c r="J10" s="245">
        <v>25</v>
      </c>
      <c r="K10" s="239">
        <f t="shared" si="0"/>
        <v>25</v>
      </c>
    </row>
    <row r="11" spans="1:11" ht="13.5">
      <c r="A11" s="4">
        <v>8</v>
      </c>
      <c r="B11" s="445" t="s">
        <v>269</v>
      </c>
      <c r="C11" s="446"/>
      <c r="D11" s="446"/>
      <c r="E11" s="446" t="s">
        <v>160</v>
      </c>
      <c r="F11" s="446"/>
      <c r="G11" s="446"/>
      <c r="H11" s="244">
        <v>1</v>
      </c>
      <c r="I11" s="244">
        <v>1</v>
      </c>
      <c r="J11" s="245">
        <v>5</v>
      </c>
      <c r="K11" s="239">
        <f t="shared" si="0"/>
        <v>5</v>
      </c>
    </row>
    <row r="12" spans="1:11" ht="13.5">
      <c r="A12" s="8">
        <v>9</v>
      </c>
      <c r="B12" s="445" t="s">
        <v>269</v>
      </c>
      <c r="C12" s="446"/>
      <c r="D12" s="446"/>
      <c r="E12" s="446" t="s">
        <v>161</v>
      </c>
      <c r="F12" s="446"/>
      <c r="G12" s="446"/>
      <c r="H12" s="244">
        <v>0.25</v>
      </c>
      <c r="I12" s="244">
        <v>1</v>
      </c>
      <c r="J12" s="245">
        <v>5</v>
      </c>
      <c r="K12" s="239">
        <f t="shared" si="0"/>
        <v>5</v>
      </c>
    </row>
    <row r="13" spans="1:11" ht="13.5">
      <c r="A13" s="4"/>
      <c r="B13" s="445"/>
      <c r="C13" s="446"/>
      <c r="D13" s="446"/>
      <c r="E13" s="446"/>
      <c r="F13" s="446"/>
      <c r="G13" s="446"/>
      <c r="H13" s="240">
        <f>SUM(H7:H12)</f>
        <v>3.5</v>
      </c>
      <c r="I13" s="197"/>
      <c r="J13" s="206"/>
      <c r="K13" s="239"/>
    </row>
    <row r="14" spans="1:11" ht="13.5">
      <c r="A14" s="4"/>
      <c r="B14" s="445"/>
      <c r="C14" s="446"/>
      <c r="D14" s="446"/>
      <c r="E14" s="446"/>
      <c r="F14" s="446"/>
      <c r="G14" s="446"/>
      <c r="H14" s="197"/>
      <c r="I14" s="197"/>
      <c r="J14" s="206"/>
      <c r="K14" s="239"/>
    </row>
  </sheetData>
  <sheetProtection/>
  <mergeCells count="24">
    <mergeCell ref="K5:K6"/>
    <mergeCell ref="A4:A6"/>
    <mergeCell ref="B4:D6"/>
    <mergeCell ref="E4:G6"/>
    <mergeCell ref="I5:I6"/>
    <mergeCell ref="J5:J6"/>
    <mergeCell ref="H4:H6"/>
    <mergeCell ref="I4:K4"/>
    <mergeCell ref="B11:D11"/>
    <mergeCell ref="E11:G11"/>
    <mergeCell ref="E10:G10"/>
    <mergeCell ref="B7:D7"/>
    <mergeCell ref="E7:G7"/>
    <mergeCell ref="B8:D8"/>
    <mergeCell ref="E8:G8"/>
    <mergeCell ref="B9:D9"/>
    <mergeCell ref="E9:G9"/>
    <mergeCell ref="B10:D10"/>
    <mergeCell ref="B14:D14"/>
    <mergeCell ref="E14:G14"/>
    <mergeCell ref="B12:D12"/>
    <mergeCell ref="E12:G12"/>
    <mergeCell ref="B13:D13"/>
    <mergeCell ref="E13:G13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">
      <selection activeCell="I6" sqref="I6:I8"/>
    </sheetView>
  </sheetViews>
  <sheetFormatPr defaultColWidth="9.140625" defaultRowHeight="12.75"/>
  <sheetData>
    <row r="1" spans="1:9" ht="12.75">
      <c r="A1" s="478" t="s">
        <v>162</v>
      </c>
      <c r="B1" s="478"/>
      <c r="C1" s="478"/>
      <c r="D1" s="478"/>
      <c r="E1" s="478"/>
      <c r="F1" s="478"/>
      <c r="G1" s="478"/>
      <c r="H1" s="478"/>
      <c r="I1" s="478"/>
    </row>
    <row r="2" spans="1:2" ht="12.75">
      <c r="A2" s="9"/>
      <c r="B2" s="9"/>
    </row>
    <row r="3" spans="1:9" ht="12.75">
      <c r="A3" s="470" t="s">
        <v>61</v>
      </c>
      <c r="B3" s="471"/>
      <c r="C3" s="471"/>
      <c r="D3" s="471" t="s">
        <v>21</v>
      </c>
      <c r="E3" s="471"/>
      <c r="F3" s="471"/>
      <c r="G3" s="479" t="s">
        <v>163</v>
      </c>
      <c r="H3" s="479" t="s">
        <v>152</v>
      </c>
      <c r="I3" s="480" t="s">
        <v>24</v>
      </c>
    </row>
    <row r="4" spans="1:9" ht="12.75">
      <c r="A4" s="471"/>
      <c r="B4" s="471"/>
      <c r="C4" s="471"/>
      <c r="D4" s="471"/>
      <c r="E4" s="471"/>
      <c r="F4" s="471"/>
      <c r="G4" s="480"/>
      <c r="H4" s="480"/>
      <c r="I4" s="480"/>
    </row>
    <row r="5" spans="1:9" ht="12.75">
      <c r="A5" s="469"/>
      <c r="B5" s="469"/>
      <c r="C5" s="469"/>
      <c r="D5" s="469"/>
      <c r="E5" s="469"/>
      <c r="F5" s="469"/>
      <c r="G5" s="469"/>
      <c r="H5" s="469"/>
      <c r="I5" s="469"/>
    </row>
    <row r="6" spans="1:9" ht="12.75">
      <c r="A6" s="470" t="s">
        <v>157</v>
      </c>
      <c r="B6" s="471"/>
      <c r="C6" s="471"/>
      <c r="D6" s="472" t="s">
        <v>158</v>
      </c>
      <c r="E6" s="473"/>
      <c r="F6" s="473"/>
      <c r="G6" s="11" t="s">
        <v>156</v>
      </c>
      <c r="H6" s="10">
        <v>1</v>
      </c>
      <c r="I6" s="10">
        <v>4707</v>
      </c>
    </row>
    <row r="7" spans="1:9" ht="12.75">
      <c r="A7" s="470" t="s">
        <v>157</v>
      </c>
      <c r="B7" s="471"/>
      <c r="C7" s="471"/>
      <c r="D7" s="472" t="s">
        <v>164</v>
      </c>
      <c r="E7" s="473"/>
      <c r="F7" s="473"/>
      <c r="G7" s="11" t="s">
        <v>156</v>
      </c>
      <c r="H7" s="5">
        <v>0.5</v>
      </c>
      <c r="I7" s="10">
        <v>4707</v>
      </c>
    </row>
    <row r="8" spans="1:9" ht="12.75">
      <c r="A8" s="474" t="s">
        <v>165</v>
      </c>
      <c r="B8" s="475"/>
      <c r="C8" s="475"/>
      <c r="D8" s="476" t="s">
        <v>164</v>
      </c>
      <c r="E8" s="477"/>
      <c r="F8" s="477"/>
      <c r="G8" s="11" t="s">
        <v>156</v>
      </c>
      <c r="H8" s="5">
        <v>0.5</v>
      </c>
      <c r="I8" s="10">
        <v>5153</v>
      </c>
    </row>
    <row r="9" spans="1:9" ht="12.75">
      <c r="A9" s="458"/>
      <c r="B9" s="459"/>
      <c r="C9" s="459"/>
      <c r="D9" s="460"/>
      <c r="E9" s="461"/>
      <c r="F9" s="461"/>
      <c r="G9" s="12"/>
      <c r="H9" s="13"/>
      <c r="I9" s="14"/>
    </row>
    <row r="10" spans="1:9" ht="12.75">
      <c r="A10" s="462" t="s">
        <v>59</v>
      </c>
      <c r="B10" s="463"/>
      <c r="C10" s="463"/>
      <c r="D10" s="463"/>
      <c r="E10" s="463"/>
      <c r="F10" s="464"/>
      <c r="G10" s="15"/>
      <c r="H10" s="15">
        <f>SUM(H6:H9)</f>
        <v>2</v>
      </c>
      <c r="I10" s="15">
        <f>SUM(I6:I9)</f>
        <v>14567</v>
      </c>
    </row>
    <row r="11" spans="1:9" ht="12.75">
      <c r="A11" s="465" t="s">
        <v>166</v>
      </c>
      <c r="B11" s="465"/>
      <c r="C11" s="465"/>
      <c r="D11" s="465"/>
      <c r="E11" s="465"/>
      <c r="F11" s="465"/>
      <c r="G11" s="16"/>
      <c r="H11" s="17"/>
      <c r="I11" s="18">
        <f>I10/H10</f>
        <v>7283.5</v>
      </c>
    </row>
    <row r="12" spans="1:9" ht="12.75">
      <c r="A12" s="466"/>
      <c r="B12" s="467"/>
      <c r="C12" s="467"/>
      <c r="D12" s="467"/>
      <c r="E12" s="467"/>
      <c r="F12" s="467"/>
      <c r="G12" s="467"/>
      <c r="H12" s="467"/>
      <c r="I12" s="468"/>
    </row>
    <row r="13" ht="12.75">
      <c r="H13" t="s">
        <v>167</v>
      </c>
    </row>
    <row r="24" ht="12.75">
      <c r="E24" t="s">
        <v>124</v>
      </c>
    </row>
    <row r="39" ht="12.75">
      <c r="C39" t="s">
        <v>168</v>
      </c>
    </row>
  </sheetData>
  <sheetProtection/>
  <mergeCells count="18">
    <mergeCell ref="A8:C8"/>
    <mergeCell ref="D8:F8"/>
    <mergeCell ref="A1:I1"/>
    <mergeCell ref="A3:C4"/>
    <mergeCell ref="D3:F4"/>
    <mergeCell ref="G3:G4"/>
    <mergeCell ref="H3:H4"/>
    <mergeCell ref="I3:I4"/>
    <mergeCell ref="A9:C9"/>
    <mergeCell ref="D9:F9"/>
    <mergeCell ref="A10:F10"/>
    <mergeCell ref="A11:F11"/>
    <mergeCell ref="A12:I12"/>
    <mergeCell ref="A5:I5"/>
    <mergeCell ref="A6:C6"/>
    <mergeCell ref="D6:F6"/>
    <mergeCell ref="A7:C7"/>
    <mergeCell ref="D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66"/>
  <sheetViews>
    <sheetView zoomScale="80" zoomScaleNormal="80" workbookViewId="0" topLeftCell="A1">
      <selection activeCell="L16" sqref="L16"/>
    </sheetView>
  </sheetViews>
  <sheetFormatPr defaultColWidth="9.28125" defaultRowHeight="12.75"/>
  <cols>
    <col min="1" max="1" width="7.00390625" style="88" customWidth="1"/>
    <col min="2" max="2" width="3.140625" style="88" customWidth="1"/>
    <col min="3" max="3" width="24.140625" style="88" customWidth="1"/>
    <col min="4" max="4" width="7.57421875" style="88" customWidth="1"/>
    <col min="5" max="6" width="10.28125" style="88" customWidth="1"/>
    <col min="7" max="9" width="12.00390625" style="88" customWidth="1"/>
    <col min="10" max="10" width="10.7109375" style="88" customWidth="1"/>
    <col min="11" max="11" width="7.00390625" style="88" customWidth="1"/>
    <col min="12" max="12" width="9.7109375" style="88" customWidth="1"/>
    <col min="13" max="13" width="7.00390625" style="88" customWidth="1"/>
    <col min="14" max="14" width="13.7109375" style="88" customWidth="1"/>
    <col min="15" max="15" width="7.8515625" style="88" customWidth="1"/>
    <col min="16" max="16" width="13.140625" style="88" customWidth="1"/>
    <col min="17" max="18" width="9.421875" style="88" customWidth="1"/>
    <col min="19" max="19" width="15.57421875" style="88" customWidth="1"/>
    <col min="20" max="20" width="10.140625" style="88" customWidth="1"/>
    <col min="21" max="21" width="10.28125" style="88" customWidth="1"/>
    <col min="22" max="16384" width="9.28125" style="1" customWidth="1"/>
  </cols>
  <sheetData>
    <row r="1" spans="1:16" ht="12.75">
      <c r="A1" s="481"/>
      <c r="B1" s="481"/>
      <c r="C1" s="481"/>
      <c r="D1" s="87"/>
      <c r="E1" s="87"/>
      <c r="F1" s="87"/>
      <c r="G1" s="87"/>
      <c r="H1" s="87"/>
      <c r="I1" s="87"/>
      <c r="J1" s="87"/>
      <c r="K1" s="87"/>
      <c r="L1" s="87"/>
      <c r="M1" s="481" t="s">
        <v>0</v>
      </c>
      <c r="N1" s="481"/>
      <c r="O1" s="481"/>
      <c r="P1" s="481"/>
    </row>
    <row r="2" spans="1:15" ht="12.75">
      <c r="A2" s="481"/>
      <c r="B2" s="481"/>
      <c r="C2" s="481"/>
      <c r="D2" s="87"/>
      <c r="E2" s="87"/>
      <c r="F2" s="87"/>
      <c r="G2" s="87"/>
      <c r="H2" s="87"/>
      <c r="I2" s="87"/>
      <c r="J2" s="87"/>
      <c r="K2" s="87"/>
      <c r="L2" s="87"/>
      <c r="M2" s="89" t="s">
        <v>1</v>
      </c>
      <c r="N2" s="89"/>
      <c r="O2" s="292"/>
    </row>
    <row r="3" spans="1:15" ht="12.75">
      <c r="A3" s="90"/>
      <c r="B3" s="90"/>
      <c r="C3" s="90"/>
      <c r="D3" s="87"/>
      <c r="E3" s="87"/>
      <c r="F3" s="87"/>
      <c r="G3" s="87"/>
      <c r="H3" s="87"/>
      <c r="I3" s="87"/>
      <c r="J3" s="87"/>
      <c r="K3" s="87"/>
      <c r="L3" s="87"/>
      <c r="M3" s="481" t="s">
        <v>2</v>
      </c>
      <c r="N3" s="481"/>
      <c r="O3" s="292"/>
    </row>
    <row r="4" spans="1:15" ht="12.75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481" t="s">
        <v>3</v>
      </c>
      <c r="N4" s="481"/>
      <c r="O4" s="292"/>
    </row>
    <row r="5" spans="1:15" ht="12.75">
      <c r="A5" s="87"/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</row>
    <row r="6" spans="1:15" ht="12.75">
      <c r="A6" s="87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91" t="s">
        <v>4</v>
      </c>
      <c r="O6" s="291"/>
    </row>
    <row r="7" spans="1:15" ht="12.75">
      <c r="A7" s="87"/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91">
        <v>301017</v>
      </c>
      <c r="O7" s="291"/>
    </row>
    <row r="8" spans="1:15" ht="13.5" thickBot="1">
      <c r="A8" s="92"/>
      <c r="B8" s="92"/>
      <c r="C8" s="93" t="s">
        <v>275</v>
      </c>
      <c r="D8" s="93"/>
      <c r="E8" s="93"/>
      <c r="F8" s="93"/>
      <c r="G8" s="93"/>
      <c r="H8" s="93"/>
      <c r="I8" s="93"/>
      <c r="J8" s="93"/>
      <c r="K8" s="94"/>
      <c r="L8" s="92"/>
      <c r="M8" s="92"/>
      <c r="N8" s="95"/>
      <c r="O8" s="96"/>
    </row>
    <row r="9" spans="1:15" ht="12.75">
      <c r="A9" s="87"/>
      <c r="B9" s="87"/>
      <c r="C9" s="87"/>
      <c r="D9" s="482" t="s">
        <v>5</v>
      </c>
      <c r="E9" s="482"/>
      <c r="F9" s="482"/>
      <c r="G9" s="87"/>
      <c r="H9" s="87"/>
      <c r="I9" s="87"/>
      <c r="J9" s="87"/>
      <c r="K9" s="87"/>
      <c r="L9" s="87"/>
      <c r="M9" s="87"/>
      <c r="N9" s="87"/>
      <c r="O9" s="87"/>
    </row>
    <row r="10" spans="1:15" ht="12.75">
      <c r="A10" s="87"/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</row>
    <row r="11" spans="1:15" ht="12.75">
      <c r="A11" s="87"/>
      <c r="B11" s="87"/>
      <c r="C11" s="87"/>
      <c r="D11" s="87"/>
      <c r="E11" s="483" t="s">
        <v>6</v>
      </c>
      <c r="F11" s="483"/>
      <c r="G11" s="484"/>
      <c r="H11" s="484"/>
      <c r="I11" s="484"/>
      <c r="J11" s="484"/>
      <c r="K11" s="484"/>
      <c r="L11" s="484"/>
      <c r="M11" s="87"/>
      <c r="N11" s="87"/>
      <c r="O11" s="87"/>
    </row>
    <row r="12" spans="1:19" ht="12.75">
      <c r="A12" s="87"/>
      <c r="B12" s="87"/>
      <c r="C12" s="485" t="s">
        <v>7</v>
      </c>
      <c r="D12" s="485"/>
      <c r="E12" s="483">
        <v>1</v>
      </c>
      <c r="F12" s="483"/>
      <c r="G12" s="484"/>
      <c r="H12" s="484"/>
      <c r="I12" s="484"/>
      <c r="J12" s="484"/>
      <c r="K12" s="484"/>
      <c r="L12" s="484"/>
      <c r="M12" s="87" t="s">
        <v>8</v>
      </c>
      <c r="N12" s="87"/>
      <c r="O12" s="87"/>
      <c r="Q12" s="486"/>
      <c r="R12" s="296"/>
      <c r="S12" s="486"/>
    </row>
    <row r="13" spans="12:19" ht="12.75">
      <c r="L13" s="498" t="s">
        <v>71</v>
      </c>
      <c r="M13" s="498"/>
      <c r="N13" s="498"/>
      <c r="O13" s="97"/>
      <c r="Q13" s="486"/>
      <c r="R13" s="296"/>
      <c r="S13" s="486"/>
    </row>
    <row r="14" spans="2:19" ht="12.75">
      <c r="B14" s="487" t="s">
        <v>280</v>
      </c>
      <c r="C14" s="487"/>
      <c r="D14" s="487"/>
      <c r="E14" s="487"/>
      <c r="F14" s="98"/>
      <c r="L14" s="90" t="s">
        <v>283</v>
      </c>
      <c r="M14" s="90"/>
      <c r="N14" s="90"/>
      <c r="O14" s="99"/>
      <c r="Q14" s="100"/>
      <c r="R14" s="100"/>
      <c r="S14" s="101"/>
    </row>
    <row r="15" spans="2:19" ht="12.75">
      <c r="B15" s="291"/>
      <c r="C15" s="291"/>
      <c r="D15" s="291"/>
      <c r="E15" s="291"/>
      <c r="F15" s="98"/>
      <c r="L15" s="90" t="s">
        <v>284</v>
      </c>
      <c r="M15" s="90"/>
      <c r="N15" s="90"/>
      <c r="O15" s="99"/>
      <c r="Q15" s="100"/>
      <c r="R15" s="100"/>
      <c r="S15" s="101"/>
    </row>
    <row r="17" spans="1:19" ht="12.75" customHeight="1">
      <c r="A17" s="488" t="s">
        <v>9</v>
      </c>
      <c r="B17" s="488"/>
      <c r="C17" s="102" t="s">
        <v>10</v>
      </c>
      <c r="D17" s="489" t="s">
        <v>72</v>
      </c>
      <c r="E17" s="490" t="s">
        <v>73</v>
      </c>
      <c r="F17" s="490"/>
      <c r="G17" s="490"/>
      <c r="H17" s="490"/>
      <c r="I17" s="490"/>
      <c r="J17" s="490"/>
      <c r="K17" s="490"/>
      <c r="L17" s="490"/>
      <c r="M17" s="490"/>
      <c r="N17" s="490"/>
      <c r="O17" s="490"/>
      <c r="P17" s="490"/>
      <c r="Q17" s="490"/>
      <c r="R17" s="490"/>
      <c r="S17" s="490"/>
    </row>
    <row r="18" spans="1:19" ht="12.75" customHeight="1">
      <c r="A18" s="488" t="s">
        <v>12</v>
      </c>
      <c r="B18" s="102"/>
      <c r="C18" s="103" t="s">
        <v>11</v>
      </c>
      <c r="D18" s="489"/>
      <c r="E18" s="490" t="s">
        <v>74</v>
      </c>
      <c r="F18" s="490"/>
      <c r="G18" s="490"/>
      <c r="H18" s="490"/>
      <c r="I18" s="490"/>
      <c r="J18" s="490"/>
      <c r="K18" s="490"/>
      <c r="L18" s="490"/>
      <c r="M18" s="490"/>
      <c r="N18" s="490"/>
      <c r="O18" s="490"/>
      <c r="P18" s="490"/>
      <c r="Q18" s="497" t="s">
        <v>76</v>
      </c>
      <c r="R18" s="491" t="s">
        <v>281</v>
      </c>
      <c r="S18" s="490" t="s">
        <v>77</v>
      </c>
    </row>
    <row r="19" spans="1:20" ht="12.75" customHeight="1">
      <c r="A19" s="488"/>
      <c r="B19" s="103"/>
      <c r="C19" s="103"/>
      <c r="D19" s="489"/>
      <c r="E19" s="497" t="s">
        <v>78</v>
      </c>
      <c r="F19" s="497" t="s">
        <v>205</v>
      </c>
      <c r="G19" s="494" t="s">
        <v>25</v>
      </c>
      <c r="H19" s="495" t="s">
        <v>171</v>
      </c>
      <c r="I19" s="495" t="s">
        <v>27</v>
      </c>
      <c r="J19" s="494" t="s">
        <v>80</v>
      </c>
      <c r="K19" s="497" t="s">
        <v>81</v>
      </c>
      <c r="L19" s="497" t="s">
        <v>82</v>
      </c>
      <c r="M19" s="497" t="s">
        <v>27</v>
      </c>
      <c r="N19" s="497" t="s">
        <v>83</v>
      </c>
      <c r="O19" s="497" t="s">
        <v>27</v>
      </c>
      <c r="P19" s="490" t="s">
        <v>84</v>
      </c>
      <c r="Q19" s="497"/>
      <c r="R19" s="492"/>
      <c r="S19" s="490"/>
      <c r="T19" s="104"/>
    </row>
    <row r="20" spans="1:19" ht="21" customHeight="1">
      <c r="A20" s="488"/>
      <c r="B20" s="35" t="s">
        <v>13</v>
      </c>
      <c r="C20" s="35" t="s">
        <v>14</v>
      </c>
      <c r="D20" s="489"/>
      <c r="E20" s="497"/>
      <c r="F20" s="497"/>
      <c r="G20" s="494"/>
      <c r="H20" s="496"/>
      <c r="I20" s="496"/>
      <c r="J20" s="494"/>
      <c r="K20" s="497"/>
      <c r="L20" s="497"/>
      <c r="M20" s="497"/>
      <c r="N20" s="497"/>
      <c r="O20" s="497"/>
      <c r="P20" s="490"/>
      <c r="Q20" s="497"/>
      <c r="R20" s="493"/>
      <c r="S20" s="490"/>
    </row>
    <row r="21" spans="1:19" ht="12.75">
      <c r="A21" s="35">
        <v>1</v>
      </c>
      <c r="B21" s="35">
        <v>2</v>
      </c>
      <c r="C21" s="35">
        <v>3</v>
      </c>
      <c r="D21" s="35">
        <v>4</v>
      </c>
      <c r="E21" s="105">
        <v>5</v>
      </c>
      <c r="F21" s="105">
        <v>6</v>
      </c>
      <c r="G21" s="105">
        <v>7</v>
      </c>
      <c r="H21" s="105">
        <v>8</v>
      </c>
      <c r="I21" s="105">
        <v>9</v>
      </c>
      <c r="J21" s="105">
        <v>10</v>
      </c>
      <c r="K21" s="105">
        <v>11</v>
      </c>
      <c r="L21" s="105">
        <v>12</v>
      </c>
      <c r="M21" s="105">
        <v>13</v>
      </c>
      <c r="N21" s="105">
        <v>14</v>
      </c>
      <c r="O21" s="105">
        <v>15</v>
      </c>
      <c r="P21" s="105">
        <v>16</v>
      </c>
      <c r="Q21" s="105">
        <v>17</v>
      </c>
      <c r="R21" s="105">
        <v>18</v>
      </c>
      <c r="S21" s="105">
        <v>19</v>
      </c>
    </row>
    <row r="22" spans="1:19" ht="13.5">
      <c r="A22" s="499" t="s">
        <v>172</v>
      </c>
      <c r="B22" s="499"/>
      <c r="C22" s="499"/>
      <c r="D22" s="499"/>
      <c r="E22" s="499"/>
      <c r="F22" s="499"/>
      <c r="G22" s="499"/>
      <c r="H22" s="499"/>
      <c r="I22" s="499"/>
      <c r="J22" s="499"/>
      <c r="K22" s="499"/>
      <c r="L22" s="499"/>
      <c r="M22" s="499"/>
      <c r="N22" s="499"/>
      <c r="O22" s="499"/>
      <c r="P22" s="499"/>
      <c r="Q22" s="499"/>
      <c r="R22" s="499"/>
      <c r="S22" s="499"/>
    </row>
    <row r="23" spans="1:21" ht="12.75">
      <c r="A23" s="53"/>
      <c r="B23" s="54"/>
      <c r="C23" s="247" t="s">
        <v>88</v>
      </c>
      <c r="D23" s="54">
        <v>1.25</v>
      </c>
      <c r="E23" s="55">
        <v>3480</v>
      </c>
      <c r="F23" s="56"/>
      <c r="G23" s="37">
        <f>E23*D23</f>
        <v>4350</v>
      </c>
      <c r="H23" s="37"/>
      <c r="I23" s="42"/>
      <c r="J23" s="280"/>
      <c r="K23" s="281"/>
      <c r="L23" s="37">
        <f aca="true" t="shared" si="0" ref="L23:L30">G23*M23</f>
        <v>217.5</v>
      </c>
      <c r="M23" s="23">
        <v>0.05</v>
      </c>
      <c r="N23" s="52">
        <f>(E23+F23)*O23</f>
        <v>0</v>
      </c>
      <c r="O23" s="23"/>
      <c r="P23" s="49">
        <f>G23+J23+L23+N23+H23</f>
        <v>4567.5</v>
      </c>
      <c r="Q23" s="37">
        <f aca="true" t="shared" si="1" ref="Q23:Q31">P23*0.6</f>
        <v>2740.5</v>
      </c>
      <c r="R23" s="37">
        <f aca="true" t="shared" si="2" ref="R23:R30">(9544*D23)-(P23+Q23)</f>
        <v>4622</v>
      </c>
      <c r="S23" s="49">
        <f aca="true" t="shared" si="3" ref="S23:S31">P23+Q23+R23</f>
        <v>11930</v>
      </c>
      <c r="T23" s="500"/>
      <c r="U23" s="501"/>
    </row>
    <row r="24" spans="1:21" ht="12.75">
      <c r="A24" s="53"/>
      <c r="B24" s="54"/>
      <c r="C24" s="53" t="s">
        <v>91</v>
      </c>
      <c r="D24" s="54">
        <v>1</v>
      </c>
      <c r="E24" s="38">
        <v>2231</v>
      </c>
      <c r="F24" s="56"/>
      <c r="G24" s="37">
        <f aca="true" t="shared" si="4" ref="G24:G30">(E24+F24)*D24</f>
        <v>2231</v>
      </c>
      <c r="H24" s="37"/>
      <c r="I24" s="42"/>
      <c r="J24" s="38">
        <f>G24*K24</f>
        <v>267.71999999999997</v>
      </c>
      <c r="K24" s="57">
        <v>0.12</v>
      </c>
      <c r="L24" s="37">
        <f t="shared" si="0"/>
        <v>334.65</v>
      </c>
      <c r="M24" s="23">
        <v>0.15</v>
      </c>
      <c r="N24" s="52">
        <f aca="true" t="shared" si="5" ref="N24:N30">(E24+F24)*O24</f>
        <v>0</v>
      </c>
      <c r="O24" s="23"/>
      <c r="P24" s="49">
        <f>G24+J24+L24+N24+H24</f>
        <v>2833.37</v>
      </c>
      <c r="Q24" s="37">
        <f t="shared" si="1"/>
        <v>1700.022</v>
      </c>
      <c r="R24" s="37">
        <f t="shared" si="2"/>
        <v>5010.608</v>
      </c>
      <c r="S24" s="49">
        <f t="shared" si="3"/>
        <v>9544</v>
      </c>
      <c r="T24" s="500"/>
      <c r="U24" s="501"/>
    </row>
    <row r="25" spans="1:21" ht="39">
      <c r="A25" s="53"/>
      <c r="B25" s="54"/>
      <c r="C25" s="257" t="s">
        <v>93</v>
      </c>
      <c r="D25" s="54">
        <v>1</v>
      </c>
      <c r="E25" s="36">
        <v>2231</v>
      </c>
      <c r="F25" s="36"/>
      <c r="G25" s="37">
        <f t="shared" si="4"/>
        <v>2231</v>
      </c>
      <c r="H25" s="37"/>
      <c r="I25" s="42"/>
      <c r="J25" s="38"/>
      <c r="K25" s="39"/>
      <c r="L25" s="37">
        <f t="shared" si="0"/>
        <v>0</v>
      </c>
      <c r="M25" s="58">
        <v>0</v>
      </c>
      <c r="N25" s="52">
        <f t="shared" si="5"/>
        <v>0</v>
      </c>
      <c r="O25" s="58"/>
      <c r="P25" s="49">
        <f aca="true" t="shared" si="6" ref="P25:P30">G25+J25+L25+N25</f>
        <v>2231</v>
      </c>
      <c r="Q25" s="37">
        <f t="shared" si="1"/>
        <v>1338.6</v>
      </c>
      <c r="R25" s="37">
        <f t="shared" si="2"/>
        <v>5974.4</v>
      </c>
      <c r="S25" s="49">
        <f t="shared" si="3"/>
        <v>9544</v>
      </c>
      <c r="T25" s="500"/>
      <c r="U25" s="501"/>
    </row>
    <row r="26" spans="1:21" ht="12.75">
      <c r="A26" s="53"/>
      <c r="B26" s="54"/>
      <c r="C26" s="47" t="s">
        <v>94</v>
      </c>
      <c r="D26" s="54">
        <v>4</v>
      </c>
      <c r="E26" s="38">
        <v>2231</v>
      </c>
      <c r="F26" s="38"/>
      <c r="G26" s="37">
        <f t="shared" si="4"/>
        <v>8924</v>
      </c>
      <c r="H26" s="37"/>
      <c r="I26" s="42"/>
      <c r="J26" s="38">
        <v>1954.56</v>
      </c>
      <c r="K26" s="59"/>
      <c r="L26" s="37">
        <f t="shared" si="0"/>
        <v>2231</v>
      </c>
      <c r="M26" s="24">
        <v>0.25</v>
      </c>
      <c r="N26" s="52">
        <f t="shared" si="5"/>
        <v>0</v>
      </c>
      <c r="O26" s="24"/>
      <c r="P26" s="49">
        <f t="shared" si="6"/>
        <v>13109.56</v>
      </c>
      <c r="Q26" s="37">
        <f t="shared" si="1"/>
        <v>7865.735999999999</v>
      </c>
      <c r="R26" s="37">
        <f t="shared" si="2"/>
        <v>17200.704</v>
      </c>
      <c r="S26" s="49">
        <f t="shared" si="3"/>
        <v>38176</v>
      </c>
      <c r="T26" s="500"/>
      <c r="U26" s="501"/>
    </row>
    <row r="27" spans="1:19" ht="26.25">
      <c r="A27" s="53"/>
      <c r="B27" s="54"/>
      <c r="C27" s="256" t="s">
        <v>95</v>
      </c>
      <c r="D27" s="54">
        <v>4</v>
      </c>
      <c r="E27" s="38">
        <v>2231</v>
      </c>
      <c r="F27" s="38"/>
      <c r="G27" s="37">
        <f t="shared" si="4"/>
        <v>8924</v>
      </c>
      <c r="H27" s="37"/>
      <c r="I27" s="42"/>
      <c r="J27" s="38">
        <f>G27*0.12</f>
        <v>1070.8799999999999</v>
      </c>
      <c r="K27" s="59">
        <v>0.12</v>
      </c>
      <c r="L27" s="37">
        <f t="shared" si="0"/>
        <v>446.20000000000005</v>
      </c>
      <c r="M27" s="24">
        <v>0.05</v>
      </c>
      <c r="N27" s="52">
        <f t="shared" si="5"/>
        <v>0</v>
      </c>
      <c r="O27" s="24"/>
      <c r="P27" s="49">
        <f t="shared" si="6"/>
        <v>10441.08</v>
      </c>
      <c r="Q27" s="37">
        <f t="shared" si="1"/>
        <v>6264.648</v>
      </c>
      <c r="R27" s="37">
        <f t="shared" si="2"/>
        <v>21470.272</v>
      </c>
      <c r="S27" s="49">
        <f t="shared" si="3"/>
        <v>38176</v>
      </c>
    </row>
    <row r="28" spans="1:19" ht="12.75">
      <c r="A28" s="53"/>
      <c r="B28" s="54"/>
      <c r="C28" s="47" t="s">
        <v>96</v>
      </c>
      <c r="D28" s="54">
        <v>0.5</v>
      </c>
      <c r="E28" s="38">
        <v>2597</v>
      </c>
      <c r="F28" s="38"/>
      <c r="G28" s="37">
        <f t="shared" si="4"/>
        <v>1298.5</v>
      </c>
      <c r="H28" s="37"/>
      <c r="I28" s="42"/>
      <c r="J28" s="38"/>
      <c r="K28" s="59"/>
      <c r="L28" s="37">
        <f t="shared" si="0"/>
        <v>0</v>
      </c>
      <c r="M28" s="24">
        <v>0</v>
      </c>
      <c r="N28" s="52">
        <f t="shared" si="5"/>
        <v>0</v>
      </c>
      <c r="O28" s="24"/>
      <c r="P28" s="49">
        <f t="shared" si="6"/>
        <v>1298.5</v>
      </c>
      <c r="Q28" s="37">
        <f t="shared" si="1"/>
        <v>779.1</v>
      </c>
      <c r="R28" s="37">
        <f t="shared" si="2"/>
        <v>2694.4</v>
      </c>
      <c r="S28" s="49">
        <f t="shared" si="3"/>
        <v>4772</v>
      </c>
    </row>
    <row r="29" spans="1:19" ht="12.75">
      <c r="A29" s="53"/>
      <c r="B29" s="54"/>
      <c r="C29" s="53" t="s">
        <v>97</v>
      </c>
      <c r="D29" s="54">
        <v>1</v>
      </c>
      <c r="E29" s="38">
        <v>2597</v>
      </c>
      <c r="F29" s="38"/>
      <c r="G29" s="37">
        <f t="shared" si="4"/>
        <v>2597</v>
      </c>
      <c r="H29" s="37"/>
      <c r="I29" s="42"/>
      <c r="J29" s="38">
        <f>G29*0.12</f>
        <v>311.64</v>
      </c>
      <c r="K29" s="59">
        <v>0.12</v>
      </c>
      <c r="L29" s="37">
        <f t="shared" si="0"/>
        <v>389.55</v>
      </c>
      <c r="M29" s="24">
        <v>0.15</v>
      </c>
      <c r="N29" s="52">
        <f t="shared" si="5"/>
        <v>0</v>
      </c>
      <c r="O29" s="24"/>
      <c r="P29" s="49">
        <f t="shared" si="6"/>
        <v>3298.19</v>
      </c>
      <c r="Q29" s="37">
        <f t="shared" si="1"/>
        <v>1978.914</v>
      </c>
      <c r="R29" s="37">
        <f t="shared" si="2"/>
        <v>4266.896</v>
      </c>
      <c r="S29" s="49">
        <f t="shared" si="3"/>
        <v>9544</v>
      </c>
    </row>
    <row r="30" spans="1:19" ht="12.75">
      <c r="A30" s="53"/>
      <c r="B30" s="54"/>
      <c r="C30" s="47" t="s">
        <v>170</v>
      </c>
      <c r="D30" s="35">
        <v>1</v>
      </c>
      <c r="E30" s="36">
        <v>2231</v>
      </c>
      <c r="F30" s="36"/>
      <c r="G30" s="60">
        <f t="shared" si="4"/>
        <v>2231</v>
      </c>
      <c r="H30" s="37"/>
      <c r="I30" s="42"/>
      <c r="J30" s="36"/>
      <c r="K30" s="39"/>
      <c r="L30" s="60">
        <f t="shared" si="0"/>
        <v>111.55000000000001</v>
      </c>
      <c r="M30" s="58">
        <v>0.05</v>
      </c>
      <c r="N30" s="61">
        <f t="shared" si="5"/>
        <v>0</v>
      </c>
      <c r="O30" s="58"/>
      <c r="P30" s="49">
        <f t="shared" si="6"/>
        <v>2342.55</v>
      </c>
      <c r="Q30" s="37">
        <f t="shared" si="1"/>
        <v>1405.53</v>
      </c>
      <c r="R30" s="37">
        <f t="shared" si="2"/>
        <v>5795.92</v>
      </c>
      <c r="S30" s="49">
        <f t="shared" si="3"/>
        <v>9544</v>
      </c>
    </row>
    <row r="31" spans="1:19" ht="12.75">
      <c r="A31" s="53"/>
      <c r="B31" s="54"/>
      <c r="C31" s="258" t="s">
        <v>114</v>
      </c>
      <c r="D31" s="40">
        <v>2</v>
      </c>
      <c r="E31" s="38">
        <v>4193</v>
      </c>
      <c r="F31" s="38"/>
      <c r="G31" s="43">
        <f>(E31+F31)*D31</f>
        <v>8386</v>
      </c>
      <c r="H31" s="43"/>
      <c r="I31" s="43"/>
      <c r="J31" s="38">
        <f>G31*K31</f>
        <v>2096.5</v>
      </c>
      <c r="K31" s="39">
        <v>0.25</v>
      </c>
      <c r="L31" s="37">
        <f>G31*M31</f>
        <v>2096.5</v>
      </c>
      <c r="M31" s="58">
        <v>0.25</v>
      </c>
      <c r="N31" s="38"/>
      <c r="O31" s="38"/>
      <c r="P31" s="41">
        <f>G31+J31+L31+N31</f>
        <v>12579</v>
      </c>
      <c r="Q31" s="37">
        <f t="shared" si="1"/>
        <v>7547.4</v>
      </c>
      <c r="R31" s="37"/>
      <c r="S31" s="49">
        <f t="shared" si="3"/>
        <v>20126.4</v>
      </c>
    </row>
    <row r="32" spans="1:19" ht="12.75">
      <c r="A32" s="53"/>
      <c r="B32" s="54"/>
      <c r="C32" s="62" t="s">
        <v>59</v>
      </c>
      <c r="D32" s="63">
        <f>SUM(D23:D31)</f>
        <v>15.75</v>
      </c>
      <c r="E32" s="63">
        <f aca="true" t="shared" si="7" ref="E32:S32">SUM(E23:E31)</f>
        <v>24022</v>
      </c>
      <c r="F32" s="63">
        <f t="shared" si="7"/>
        <v>0</v>
      </c>
      <c r="G32" s="63">
        <f t="shared" si="7"/>
        <v>41172.5</v>
      </c>
      <c r="H32" s="63">
        <f t="shared" si="7"/>
        <v>0</v>
      </c>
      <c r="I32" s="63">
        <f t="shared" si="7"/>
        <v>0</v>
      </c>
      <c r="J32" s="63">
        <f t="shared" si="7"/>
        <v>5701.299999999999</v>
      </c>
      <c r="K32" s="63">
        <f t="shared" si="7"/>
        <v>0.61</v>
      </c>
      <c r="L32" s="63">
        <f t="shared" si="7"/>
        <v>5826.950000000001</v>
      </c>
      <c r="M32" s="63">
        <f t="shared" si="7"/>
        <v>0.9500000000000001</v>
      </c>
      <c r="N32" s="63">
        <f t="shared" si="7"/>
        <v>0</v>
      </c>
      <c r="O32" s="63">
        <f t="shared" si="7"/>
        <v>0</v>
      </c>
      <c r="P32" s="63">
        <f t="shared" si="7"/>
        <v>52700.75000000001</v>
      </c>
      <c r="Q32" s="63">
        <f t="shared" si="7"/>
        <v>31620.449999999997</v>
      </c>
      <c r="R32" s="63">
        <f t="shared" si="7"/>
        <v>67035.2</v>
      </c>
      <c r="S32" s="63">
        <f t="shared" si="7"/>
        <v>151356.4</v>
      </c>
    </row>
    <row r="33" spans="1:19" ht="12.75">
      <c r="A33" s="53"/>
      <c r="B33" s="54"/>
      <c r="C33" s="502" t="s">
        <v>282</v>
      </c>
      <c r="D33" s="503"/>
      <c r="E33" s="503"/>
      <c r="F33" s="503"/>
      <c r="G33" s="503"/>
      <c r="H33" s="503"/>
      <c r="I33" s="503"/>
      <c r="J33" s="503"/>
      <c r="K33" s="503"/>
      <c r="L33" s="503"/>
      <c r="M33" s="503"/>
      <c r="N33" s="503"/>
      <c r="O33" s="503"/>
      <c r="P33" s="503"/>
      <c r="Q33" s="504"/>
      <c r="R33" s="304"/>
      <c r="S33" s="64">
        <v>15321.6</v>
      </c>
    </row>
    <row r="34" spans="1:19" ht="12.75">
      <c r="A34" s="53"/>
      <c r="B34" s="54"/>
      <c r="C34" s="505" t="s">
        <v>112</v>
      </c>
      <c r="D34" s="506"/>
      <c r="E34" s="506"/>
      <c r="F34" s="506"/>
      <c r="G34" s="506"/>
      <c r="H34" s="506"/>
      <c r="I34" s="506"/>
      <c r="J34" s="506"/>
      <c r="K34" s="506"/>
      <c r="L34" s="506"/>
      <c r="M34" s="506"/>
      <c r="N34" s="506"/>
      <c r="O34" s="506"/>
      <c r="P34" s="506"/>
      <c r="Q34" s="507"/>
      <c r="R34" s="305"/>
      <c r="S34" s="163">
        <v>166678</v>
      </c>
    </row>
    <row r="35" spans="1:19" ht="12.75">
      <c r="A35" s="112"/>
      <c r="B35" s="113"/>
      <c r="C35" s="315"/>
      <c r="D35" s="315"/>
      <c r="E35" s="315"/>
      <c r="F35" s="315"/>
      <c r="G35" s="315"/>
      <c r="H35" s="315"/>
      <c r="I35" s="315"/>
      <c r="J35" s="315"/>
      <c r="K35" s="315"/>
      <c r="L35" s="315"/>
      <c r="M35" s="315"/>
      <c r="N35" s="315"/>
      <c r="O35" s="315"/>
      <c r="P35" s="315"/>
      <c r="Q35" s="315"/>
      <c r="R35" s="315"/>
      <c r="S35" s="314"/>
    </row>
    <row r="36" spans="1:19" ht="12.75">
      <c r="A36" s="112"/>
      <c r="B36" s="113"/>
      <c r="C36" s="315"/>
      <c r="D36" s="315"/>
      <c r="E36" s="315"/>
      <c r="F36" s="315"/>
      <c r="G36" s="315"/>
      <c r="H36" s="315"/>
      <c r="I36" s="315"/>
      <c r="J36" s="315"/>
      <c r="K36" s="315"/>
      <c r="L36" s="315"/>
      <c r="M36" s="315"/>
      <c r="N36" s="315"/>
      <c r="O36" s="315"/>
      <c r="P36" s="315"/>
      <c r="Q36" s="315"/>
      <c r="R36" s="315"/>
      <c r="S36" s="314"/>
    </row>
    <row r="37" spans="1:20" ht="12.75">
      <c r="A37" s="112"/>
      <c r="B37" s="113"/>
      <c r="C37" s="114"/>
      <c r="D37" s="117"/>
      <c r="E37" s="118"/>
      <c r="F37" s="118"/>
      <c r="G37" s="117"/>
      <c r="H37" s="117"/>
      <c r="I37" s="117"/>
      <c r="J37" s="117"/>
      <c r="K37" s="118"/>
      <c r="L37" s="117"/>
      <c r="M37" s="118"/>
      <c r="N37" s="117"/>
      <c r="O37" s="118"/>
      <c r="P37" s="117"/>
      <c r="Q37" s="117"/>
      <c r="R37" s="117"/>
      <c r="S37" s="117"/>
      <c r="T37" s="119"/>
    </row>
    <row r="38" spans="3:20" ht="12.75">
      <c r="C38" s="120" t="s">
        <v>16</v>
      </c>
      <c r="D38" s="120"/>
      <c r="E38" s="121"/>
      <c r="F38" s="121"/>
      <c r="G38" s="120"/>
      <c r="H38" s="120"/>
      <c r="I38" s="120"/>
      <c r="J38" s="508" t="s">
        <v>123</v>
      </c>
      <c r="K38" s="508"/>
      <c r="L38" s="508"/>
      <c r="M38" s="508"/>
      <c r="T38" s="119"/>
    </row>
    <row r="39" spans="3:20" ht="12.75" customHeight="1">
      <c r="C39" s="122"/>
      <c r="D39" s="120"/>
      <c r="E39" s="509" t="s">
        <v>17</v>
      </c>
      <c r="F39" s="509"/>
      <c r="G39" s="120"/>
      <c r="H39" s="120"/>
      <c r="I39" s="120"/>
      <c r="J39" s="120"/>
      <c r="K39" s="120"/>
      <c r="L39" s="120" t="s">
        <v>18</v>
      </c>
      <c r="M39" s="123"/>
      <c r="P39" s="124"/>
      <c r="T39" s="119"/>
    </row>
    <row r="40" spans="3:20" ht="12.75">
      <c r="C40" s="120"/>
      <c r="D40" s="120"/>
      <c r="E40" s="120"/>
      <c r="F40" s="120"/>
      <c r="G40" s="120"/>
      <c r="H40" s="120"/>
      <c r="I40" s="120"/>
      <c r="J40" s="120"/>
      <c r="K40" s="120"/>
      <c r="L40" s="120"/>
      <c r="M40" s="123"/>
      <c r="P40" s="124"/>
      <c r="T40" s="119"/>
    </row>
    <row r="41" spans="7:20" ht="12.75">
      <c r="G41" s="125"/>
      <c r="H41" s="125"/>
      <c r="I41" s="125"/>
      <c r="P41" s="124"/>
      <c r="T41" s="119"/>
    </row>
    <row r="42" spans="3:20" ht="12.75" customHeight="1">
      <c r="C42" s="510" t="s">
        <v>19</v>
      </c>
      <c r="D42" s="510"/>
      <c r="E42" s="126"/>
      <c r="F42" s="126"/>
      <c r="G42" s="96"/>
      <c r="H42" s="96"/>
      <c r="I42" s="96"/>
      <c r="J42" s="508" t="s">
        <v>195</v>
      </c>
      <c r="K42" s="508"/>
      <c r="L42" s="508"/>
      <c r="M42" s="508"/>
      <c r="P42" s="124"/>
      <c r="T42" s="119"/>
    </row>
    <row r="43" spans="3:25" ht="12.75">
      <c r="C43" s="510"/>
      <c r="D43" s="510"/>
      <c r="E43" s="509" t="s">
        <v>17</v>
      </c>
      <c r="F43" s="509"/>
      <c r="G43" s="120"/>
      <c r="H43" s="120"/>
      <c r="I43" s="120"/>
      <c r="J43" s="120"/>
      <c r="K43" s="120"/>
      <c r="L43" s="120" t="s">
        <v>18</v>
      </c>
      <c r="M43" s="87"/>
      <c r="P43" s="124"/>
      <c r="T43" s="104"/>
      <c r="U43" s="127"/>
      <c r="V43" s="2"/>
      <c r="W43" s="3"/>
      <c r="X43" s="3"/>
      <c r="Y43" s="3"/>
    </row>
    <row r="44" spans="3:25" ht="12.75">
      <c r="C44" s="290"/>
      <c r="D44" s="290"/>
      <c r="E44" s="113"/>
      <c r="F44" s="113"/>
      <c r="G44" s="120"/>
      <c r="H44" s="120"/>
      <c r="I44" s="120"/>
      <c r="J44" s="120"/>
      <c r="K44" s="120"/>
      <c r="L44" s="120"/>
      <c r="M44" s="87"/>
      <c r="P44" s="124"/>
      <c r="T44" s="104"/>
      <c r="U44" s="127"/>
      <c r="V44" s="2"/>
      <c r="W44" s="3"/>
      <c r="X44" s="3"/>
      <c r="Y44" s="3"/>
    </row>
    <row r="45" spans="3:25" ht="12.75">
      <c r="C45" s="290"/>
      <c r="D45" s="290"/>
      <c r="E45" s="113"/>
      <c r="F45" s="113"/>
      <c r="G45" s="120"/>
      <c r="H45" s="120"/>
      <c r="I45" s="120"/>
      <c r="J45" s="120"/>
      <c r="K45" s="120"/>
      <c r="L45" s="120"/>
      <c r="M45" s="87"/>
      <c r="P45" s="124"/>
      <c r="T45" s="104"/>
      <c r="U45" s="127"/>
      <c r="V45" s="2"/>
      <c r="W45" s="3"/>
      <c r="X45" s="3"/>
      <c r="Y45" s="3"/>
    </row>
    <row r="46" spans="3:25" ht="12.75">
      <c r="C46" s="290"/>
      <c r="D46" s="290"/>
      <c r="E46" s="113"/>
      <c r="F46" s="113"/>
      <c r="G46" s="120"/>
      <c r="H46" s="120"/>
      <c r="I46" s="120"/>
      <c r="J46" s="120"/>
      <c r="K46" s="120"/>
      <c r="L46" s="120"/>
      <c r="M46" s="87"/>
      <c r="P46" s="124"/>
      <c r="T46" s="104"/>
      <c r="U46" s="127"/>
      <c r="V46" s="2"/>
      <c r="W46" s="3"/>
      <c r="X46" s="3"/>
      <c r="Y46" s="3"/>
    </row>
    <row r="47" ht="12.75">
      <c r="T47" s="119"/>
    </row>
    <row r="48" spans="7:20" ht="17.25">
      <c r="G48" s="511" t="s">
        <v>276</v>
      </c>
      <c r="H48" s="511"/>
      <c r="I48" s="511"/>
      <c r="J48" s="511"/>
      <c r="K48" s="511"/>
      <c r="L48" s="511"/>
      <c r="M48" s="511"/>
      <c r="N48" s="511"/>
      <c r="O48" s="511"/>
      <c r="T48" s="119"/>
    </row>
    <row r="49" spans="1:20" ht="17.25">
      <c r="A49" s="112"/>
      <c r="B49" s="128"/>
      <c r="C49" s="511" t="s">
        <v>209</v>
      </c>
      <c r="D49" s="511"/>
      <c r="E49" s="511"/>
      <c r="F49" s="511"/>
      <c r="G49" s="511"/>
      <c r="H49" s="511"/>
      <c r="I49" s="511"/>
      <c r="J49" s="511"/>
      <c r="K49" s="511"/>
      <c r="L49" s="511"/>
      <c r="M49" s="511"/>
      <c r="N49" s="511"/>
      <c r="O49" s="511"/>
      <c r="P49" s="511"/>
      <c r="Q49" s="511"/>
      <c r="R49" s="511"/>
      <c r="S49" s="511"/>
      <c r="T49" s="128"/>
    </row>
    <row r="50" spans="1:20" ht="12.75">
      <c r="A50" s="112"/>
      <c r="B50" s="128"/>
      <c r="C50" s="129"/>
      <c r="D50" s="120"/>
      <c r="E50" s="120"/>
      <c r="F50" s="120"/>
      <c r="G50" s="120"/>
      <c r="H50" s="120"/>
      <c r="I50" s="120"/>
      <c r="J50" s="120"/>
      <c r="K50" s="120"/>
      <c r="L50" s="120"/>
      <c r="M50" s="130"/>
      <c r="N50" s="130"/>
      <c r="O50" s="130"/>
      <c r="P50" s="130"/>
      <c r="Q50" s="128"/>
      <c r="R50" s="128"/>
      <c r="S50" s="128"/>
      <c r="T50" s="128"/>
    </row>
    <row r="51" spans="1:20" ht="12.75" customHeight="1">
      <c r="A51" s="488" t="s">
        <v>9</v>
      </c>
      <c r="B51" s="488"/>
      <c r="C51" s="102" t="s">
        <v>10</v>
      </c>
      <c r="D51" s="489" t="s">
        <v>72</v>
      </c>
      <c r="E51" s="490" t="s">
        <v>73</v>
      </c>
      <c r="F51" s="490"/>
      <c r="G51" s="490"/>
      <c r="H51" s="490"/>
      <c r="I51" s="490"/>
      <c r="J51" s="490"/>
      <c r="K51" s="490"/>
      <c r="L51" s="490"/>
      <c r="M51" s="490"/>
      <c r="N51" s="490"/>
      <c r="O51" s="490"/>
      <c r="P51" s="490"/>
      <c r="Q51" s="490"/>
      <c r="R51" s="490"/>
      <c r="S51" s="490"/>
      <c r="T51" s="128"/>
    </row>
    <row r="52" spans="1:20" ht="12.75" customHeight="1">
      <c r="A52" s="488" t="s">
        <v>12</v>
      </c>
      <c r="B52" s="102"/>
      <c r="C52" s="103" t="s">
        <v>11</v>
      </c>
      <c r="D52" s="489"/>
      <c r="E52" s="490" t="s">
        <v>74</v>
      </c>
      <c r="F52" s="490"/>
      <c r="G52" s="490"/>
      <c r="H52" s="490"/>
      <c r="I52" s="490"/>
      <c r="J52" s="490"/>
      <c r="K52" s="490"/>
      <c r="L52" s="490"/>
      <c r="M52" s="490"/>
      <c r="N52" s="490"/>
      <c r="O52" s="490"/>
      <c r="P52" s="490"/>
      <c r="Q52" s="497" t="s">
        <v>76</v>
      </c>
      <c r="R52" s="491" t="s">
        <v>281</v>
      </c>
      <c r="S52" s="490" t="s">
        <v>77</v>
      </c>
      <c r="T52" s="128"/>
    </row>
    <row r="53" spans="1:21" ht="12.75" customHeight="1">
      <c r="A53" s="488"/>
      <c r="B53" s="103"/>
      <c r="C53" s="103"/>
      <c r="D53" s="489"/>
      <c r="E53" s="497" t="s">
        <v>78</v>
      </c>
      <c r="F53" s="497" t="s">
        <v>79</v>
      </c>
      <c r="G53" s="494" t="s">
        <v>25</v>
      </c>
      <c r="H53" s="495" t="s">
        <v>171</v>
      </c>
      <c r="I53" s="495" t="s">
        <v>27</v>
      </c>
      <c r="J53" s="494" t="s">
        <v>80</v>
      </c>
      <c r="K53" s="497" t="s">
        <v>81</v>
      </c>
      <c r="L53" s="497" t="s">
        <v>82</v>
      </c>
      <c r="M53" s="497" t="s">
        <v>27</v>
      </c>
      <c r="N53" s="497" t="s">
        <v>83</v>
      </c>
      <c r="O53" s="497" t="s">
        <v>27</v>
      </c>
      <c r="P53" s="490" t="s">
        <v>84</v>
      </c>
      <c r="Q53" s="497"/>
      <c r="R53" s="492"/>
      <c r="S53" s="490"/>
      <c r="T53" s="501"/>
      <c r="U53" s="501"/>
    </row>
    <row r="54" spans="1:21" ht="53.25" customHeight="1">
      <c r="A54" s="488"/>
      <c r="B54" s="35" t="s">
        <v>13</v>
      </c>
      <c r="C54" s="35" t="s">
        <v>14</v>
      </c>
      <c r="D54" s="489"/>
      <c r="E54" s="497"/>
      <c r="F54" s="497"/>
      <c r="G54" s="494"/>
      <c r="H54" s="496"/>
      <c r="I54" s="496"/>
      <c r="J54" s="494"/>
      <c r="K54" s="497"/>
      <c r="L54" s="497"/>
      <c r="M54" s="497"/>
      <c r="N54" s="497"/>
      <c r="O54" s="497"/>
      <c r="P54" s="490"/>
      <c r="Q54" s="497"/>
      <c r="R54" s="493"/>
      <c r="S54" s="490"/>
      <c r="T54" s="501"/>
      <c r="U54" s="501"/>
    </row>
    <row r="55" spans="1:21" ht="12.75">
      <c r="A55" s="308" t="s">
        <v>127</v>
      </c>
      <c r="B55" s="309"/>
      <c r="C55" s="309"/>
      <c r="D55" s="309"/>
      <c r="E55" s="309"/>
      <c r="F55" s="309"/>
      <c r="G55" s="309"/>
      <c r="H55" s="309"/>
      <c r="I55" s="309"/>
      <c r="J55" s="309"/>
      <c r="K55" s="309"/>
      <c r="L55" s="309"/>
      <c r="M55" s="309"/>
      <c r="N55" s="309"/>
      <c r="O55" s="309"/>
      <c r="P55" s="309"/>
      <c r="Q55" s="309"/>
      <c r="R55" s="309"/>
      <c r="S55" s="310"/>
      <c r="T55" s="501"/>
      <c r="U55" s="501"/>
    </row>
    <row r="56" spans="1:21" ht="12.75">
      <c r="A56" s="513"/>
      <c r="B56" s="132"/>
      <c r="C56" s="133" t="s">
        <v>132</v>
      </c>
      <c r="D56" s="134">
        <v>0.25</v>
      </c>
      <c r="E56" s="134">
        <v>2231</v>
      </c>
      <c r="F56" s="134"/>
      <c r="G56" s="134">
        <f>E56*D56</f>
        <v>557.75</v>
      </c>
      <c r="H56" s="134"/>
      <c r="I56" s="134"/>
      <c r="J56" s="140">
        <f>G56*K56</f>
        <v>66.92999999999999</v>
      </c>
      <c r="K56" s="141">
        <v>0.12</v>
      </c>
      <c r="L56" s="135">
        <f>G56*M56</f>
        <v>27.887500000000003</v>
      </c>
      <c r="M56" s="136">
        <v>0.05</v>
      </c>
      <c r="N56" s="134"/>
      <c r="O56" s="289"/>
      <c r="P56" s="137">
        <f>G56+L56+J56</f>
        <v>652.5675</v>
      </c>
      <c r="Q56" s="135">
        <f>P56*0.6</f>
        <v>391.5405</v>
      </c>
      <c r="R56" s="37">
        <f>(9544*D56)-(P56+Q56)</f>
        <v>1341.892</v>
      </c>
      <c r="S56" s="49">
        <f>P56+Q56+R56</f>
        <v>2386</v>
      </c>
      <c r="T56" s="501"/>
      <c r="U56" s="501"/>
    </row>
    <row r="57" spans="1:21" ht="12.75">
      <c r="A57" s="513"/>
      <c r="B57" s="132"/>
      <c r="C57" s="142" t="s">
        <v>15</v>
      </c>
      <c r="D57" s="143">
        <f>SUM(D56:D56)</f>
        <v>0.25</v>
      </c>
      <c r="E57" s="143" t="s">
        <v>30</v>
      </c>
      <c r="F57" s="143"/>
      <c r="G57" s="143">
        <f>SUM(G56:G56)</f>
        <v>557.75</v>
      </c>
      <c r="H57" s="143"/>
      <c r="I57" s="143"/>
      <c r="J57" s="143"/>
      <c r="K57" s="143"/>
      <c r="L57" s="137">
        <f>SUM(L56:L56)</f>
        <v>27.887500000000003</v>
      </c>
      <c r="M57" s="143"/>
      <c r="N57" s="143"/>
      <c r="O57" s="144"/>
      <c r="P57" s="137">
        <f>G57+L57</f>
        <v>585.6375</v>
      </c>
      <c r="Q57" s="137">
        <f>H57+M57</f>
        <v>0</v>
      </c>
      <c r="R57" s="137"/>
      <c r="S57" s="145">
        <f>SUM(S56:S56)</f>
        <v>2386</v>
      </c>
      <c r="T57" s="501"/>
      <c r="U57" s="501"/>
    </row>
    <row r="58" spans="1:21" ht="13.5">
      <c r="A58" s="513"/>
      <c r="B58" s="146"/>
      <c r="C58" s="512" t="s">
        <v>112</v>
      </c>
      <c r="D58" s="512"/>
      <c r="E58" s="512"/>
      <c r="F58" s="512"/>
      <c r="G58" s="512"/>
      <c r="H58" s="512"/>
      <c r="I58" s="512"/>
      <c r="J58" s="512"/>
      <c r="K58" s="512"/>
      <c r="L58" s="512"/>
      <c r="M58" s="512"/>
      <c r="N58" s="512"/>
      <c r="O58" s="512"/>
      <c r="P58" s="512"/>
      <c r="Q58" s="512"/>
      <c r="R58" s="297"/>
      <c r="S58" s="145">
        <v>2386</v>
      </c>
      <c r="T58" s="501"/>
      <c r="U58" s="501"/>
    </row>
    <row r="59" spans="1:21" ht="13.5">
      <c r="A59" s="311"/>
      <c r="B59" s="312"/>
      <c r="C59" s="313"/>
      <c r="D59" s="313"/>
      <c r="E59" s="313"/>
      <c r="F59" s="313"/>
      <c r="G59" s="313"/>
      <c r="H59" s="313"/>
      <c r="I59" s="313"/>
      <c r="J59" s="313"/>
      <c r="K59" s="313"/>
      <c r="L59" s="313"/>
      <c r="M59" s="313"/>
      <c r="N59" s="313"/>
      <c r="O59" s="313"/>
      <c r="P59" s="313"/>
      <c r="Q59" s="313"/>
      <c r="R59" s="313"/>
      <c r="S59" s="314"/>
      <c r="T59" s="307"/>
      <c r="U59" s="307"/>
    </row>
    <row r="60" spans="1:21" ht="13.5">
      <c r="A60" s="311"/>
      <c r="B60" s="312"/>
      <c r="C60" s="313"/>
      <c r="D60" s="313"/>
      <c r="E60" s="313"/>
      <c r="F60" s="313"/>
      <c r="G60" s="313"/>
      <c r="H60" s="313"/>
      <c r="I60" s="313"/>
      <c r="J60" s="313"/>
      <c r="K60" s="313"/>
      <c r="L60" s="313"/>
      <c r="M60" s="313"/>
      <c r="N60" s="313"/>
      <c r="O60" s="313"/>
      <c r="P60" s="313"/>
      <c r="Q60" s="313"/>
      <c r="R60" s="313"/>
      <c r="S60" s="314"/>
      <c r="T60" s="307"/>
      <c r="U60" s="307"/>
    </row>
    <row r="61" spans="1:19" ht="12.75">
      <c r="A61" s="128"/>
      <c r="B61" s="128"/>
      <c r="C61" s="129"/>
      <c r="D61" s="514"/>
      <c r="E61" s="514"/>
      <c r="F61" s="120"/>
      <c r="G61" s="120"/>
      <c r="H61" s="120"/>
      <c r="I61" s="120"/>
      <c r="J61" s="120"/>
      <c r="K61" s="130"/>
      <c r="L61" s="130"/>
      <c r="M61" s="130"/>
      <c r="N61" s="130"/>
      <c r="O61" s="128"/>
      <c r="P61" s="124"/>
      <c r="Q61" s="151"/>
      <c r="R61" s="151"/>
      <c r="S61" s="151"/>
    </row>
    <row r="62" spans="1:19" ht="12.75">
      <c r="A62" s="128"/>
      <c r="B62" s="128"/>
      <c r="C62" s="129"/>
      <c r="D62" s="306"/>
      <c r="E62" s="306"/>
      <c r="F62" s="120"/>
      <c r="G62" s="120"/>
      <c r="H62" s="120"/>
      <c r="I62" s="120"/>
      <c r="J62" s="120"/>
      <c r="K62" s="130"/>
      <c r="L62" s="130"/>
      <c r="M62" s="130"/>
      <c r="N62" s="130"/>
      <c r="O62" s="128"/>
      <c r="P62" s="124"/>
      <c r="Q62" s="151"/>
      <c r="R62" s="151"/>
      <c r="S62" s="151"/>
    </row>
    <row r="63" spans="3:16" ht="12.75">
      <c r="C63" s="120" t="s">
        <v>16</v>
      </c>
      <c r="D63" s="120"/>
      <c r="E63" s="121"/>
      <c r="F63" s="121"/>
      <c r="G63" s="120"/>
      <c r="H63" s="120"/>
      <c r="I63" s="120"/>
      <c r="J63" s="508" t="s">
        <v>123</v>
      </c>
      <c r="K63" s="508"/>
      <c r="L63" s="508"/>
      <c r="M63" s="508"/>
      <c r="N63" s="120"/>
      <c r="P63" s="124"/>
    </row>
    <row r="64" spans="3:16" ht="12.75">
      <c r="C64" s="122"/>
      <c r="D64" s="120"/>
      <c r="E64" s="509" t="s">
        <v>17</v>
      </c>
      <c r="F64" s="509"/>
      <c r="G64" s="120"/>
      <c r="H64" s="120"/>
      <c r="I64" s="120"/>
      <c r="J64" s="120"/>
      <c r="K64" s="120"/>
      <c r="L64" s="120" t="s">
        <v>18</v>
      </c>
      <c r="M64" s="123"/>
      <c r="P64" s="124"/>
    </row>
    <row r="65" spans="3:16" ht="12.75">
      <c r="C65" s="96" t="s">
        <v>19</v>
      </c>
      <c r="D65" s="96"/>
      <c r="E65" s="153"/>
      <c r="F65" s="154"/>
      <c r="G65" s="96"/>
      <c r="H65" s="96"/>
      <c r="I65" s="96"/>
      <c r="J65" s="508" t="s">
        <v>195</v>
      </c>
      <c r="K65" s="508"/>
      <c r="L65" s="508"/>
      <c r="M65" s="508"/>
      <c r="N65" s="508"/>
      <c r="P65" s="124"/>
    </row>
    <row r="66" spans="5:13" ht="12.75">
      <c r="E66" s="509" t="s">
        <v>17</v>
      </c>
      <c r="F66" s="509"/>
      <c r="G66" s="120"/>
      <c r="H66" s="120"/>
      <c r="I66" s="120"/>
      <c r="J66" s="120"/>
      <c r="K66" s="120"/>
      <c r="L66" s="120"/>
      <c r="M66" s="120" t="s">
        <v>18</v>
      </c>
    </row>
  </sheetData>
  <sheetProtection/>
  <mergeCells count="74">
    <mergeCell ref="A56:A58"/>
    <mergeCell ref="D61:E61"/>
    <mergeCell ref="J63:M63"/>
    <mergeCell ref="E64:F64"/>
    <mergeCell ref="J65:N65"/>
    <mergeCell ref="E66:F66"/>
    <mergeCell ref="N53:N54"/>
    <mergeCell ref="G53:G54"/>
    <mergeCell ref="H53:H54"/>
    <mergeCell ref="I53:I54"/>
    <mergeCell ref="J53:J54"/>
    <mergeCell ref="T53:U58"/>
    <mergeCell ref="C58:Q58"/>
    <mergeCell ref="S52:S54"/>
    <mergeCell ref="E53:E54"/>
    <mergeCell ref="F53:F54"/>
    <mergeCell ref="L53:L54"/>
    <mergeCell ref="G48:O48"/>
    <mergeCell ref="C49:S49"/>
    <mergeCell ref="A51:B51"/>
    <mergeCell ref="D51:D54"/>
    <mergeCell ref="E51:S51"/>
    <mergeCell ref="A52:A54"/>
    <mergeCell ref="E52:P52"/>
    <mergeCell ref="O53:O54"/>
    <mergeCell ref="R52:R54"/>
    <mergeCell ref="P53:P54"/>
    <mergeCell ref="Q52:Q54"/>
    <mergeCell ref="C33:Q33"/>
    <mergeCell ref="C34:Q34"/>
    <mergeCell ref="J38:M38"/>
    <mergeCell ref="E39:F39"/>
    <mergeCell ref="C42:D43"/>
    <mergeCell ref="J42:M42"/>
    <mergeCell ref="E43:F43"/>
    <mergeCell ref="K53:K54"/>
    <mergeCell ref="M53:M54"/>
    <mergeCell ref="A22:S22"/>
    <mergeCell ref="T23:U26"/>
    <mergeCell ref="Q18:Q20"/>
    <mergeCell ref="S18:S20"/>
    <mergeCell ref="E19:E20"/>
    <mergeCell ref="F19:F20"/>
    <mergeCell ref="H19:H20"/>
    <mergeCell ref="K19:K20"/>
    <mergeCell ref="L19:L20"/>
    <mergeCell ref="M19:M20"/>
    <mergeCell ref="S12:S13"/>
    <mergeCell ref="L13:N13"/>
    <mergeCell ref="N19:N20"/>
    <mergeCell ref="O19:O20"/>
    <mergeCell ref="P19:P20"/>
    <mergeCell ref="B14:E14"/>
    <mergeCell ref="A17:B17"/>
    <mergeCell ref="D17:D20"/>
    <mergeCell ref="E17:S17"/>
    <mergeCell ref="A18:A20"/>
    <mergeCell ref="E18:P18"/>
    <mergeCell ref="R18:R20"/>
    <mergeCell ref="G19:G20"/>
    <mergeCell ref="I19:I20"/>
    <mergeCell ref="J19:J20"/>
    <mergeCell ref="E11:F11"/>
    <mergeCell ref="G11:L11"/>
    <mergeCell ref="C12:D12"/>
    <mergeCell ref="E12:F12"/>
    <mergeCell ref="G12:L12"/>
    <mergeCell ref="Q12:Q13"/>
    <mergeCell ref="A1:C1"/>
    <mergeCell ref="M1:P1"/>
    <mergeCell ref="A2:C2"/>
    <mergeCell ref="M3:N3"/>
    <mergeCell ref="M4:N4"/>
    <mergeCell ref="D9:F9"/>
  </mergeCells>
  <printOptions/>
  <pageMargins left="0.24" right="0.17" top="0.18" bottom="0.16" header="0.17" footer="0.16"/>
  <pageSetup horizontalDpi="600" verticalDpi="600" orientation="landscape" paperSize="9" scale="5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N136"/>
  <sheetViews>
    <sheetView zoomScale="80" zoomScaleNormal="80" workbookViewId="0" topLeftCell="A73">
      <selection activeCell="N27" sqref="N27"/>
    </sheetView>
  </sheetViews>
  <sheetFormatPr defaultColWidth="9.28125" defaultRowHeight="12.75"/>
  <cols>
    <col min="1" max="1" width="7.00390625" style="88" customWidth="1"/>
    <col min="2" max="2" width="3.140625" style="88" customWidth="1"/>
    <col min="3" max="3" width="24.140625" style="88" customWidth="1"/>
    <col min="4" max="4" width="7.57421875" style="88" customWidth="1"/>
    <col min="5" max="5" width="9.421875" style="88" customWidth="1"/>
    <col min="6" max="6" width="8.140625" style="88" customWidth="1"/>
    <col min="7" max="7" width="9.57421875" style="88" customWidth="1"/>
    <col min="8" max="8" width="12.00390625" style="88" customWidth="1"/>
    <col min="9" max="9" width="9.8515625" style="88" customWidth="1"/>
    <col min="10" max="10" width="6.421875" style="88" customWidth="1"/>
    <col min="11" max="11" width="9.421875" style="88" customWidth="1"/>
    <col min="12" max="12" width="9.140625" style="88" customWidth="1"/>
    <col min="13" max="13" width="9.7109375" style="88" customWidth="1"/>
    <col min="14" max="14" width="7.00390625" style="88" customWidth="1"/>
    <col min="15" max="15" width="13.7109375" style="88" customWidth="1"/>
    <col min="16" max="16" width="7.8515625" style="88" customWidth="1"/>
    <col min="17" max="17" width="13.140625" style="88" customWidth="1"/>
    <col min="18" max="18" width="8.8515625" style="88" customWidth="1"/>
    <col min="19" max="19" width="8.28125" style="88" customWidth="1"/>
    <col min="20" max="20" width="9.421875" style="88" customWidth="1"/>
    <col min="21" max="21" width="15.57421875" style="88" customWidth="1"/>
    <col min="22" max="22" width="10.140625" style="88" customWidth="1"/>
    <col min="23" max="23" width="0.13671875" style="88" customWidth="1"/>
    <col min="24" max="24" width="13.140625" style="1" customWidth="1"/>
    <col min="25" max="16384" width="9.28125" style="1" customWidth="1"/>
  </cols>
  <sheetData>
    <row r="1" spans="1:17" ht="12.75">
      <c r="A1" s="481"/>
      <c r="B1" s="481"/>
      <c r="C1" s="481"/>
      <c r="D1" s="87"/>
      <c r="E1" s="87"/>
      <c r="F1" s="87"/>
      <c r="G1" s="87"/>
      <c r="H1" s="87"/>
      <c r="I1" s="87"/>
      <c r="J1" s="87"/>
      <c r="K1" s="87"/>
      <c r="L1" s="87"/>
      <c r="M1" s="87"/>
      <c r="N1" s="481" t="s">
        <v>0</v>
      </c>
      <c r="O1" s="481"/>
      <c r="P1" s="481"/>
      <c r="Q1" s="481"/>
    </row>
    <row r="2" spans="1:16" ht="12.75">
      <c r="A2" s="481"/>
      <c r="B2" s="481"/>
      <c r="C2" s="481"/>
      <c r="D2" s="87"/>
      <c r="E2" s="87"/>
      <c r="F2" s="87"/>
      <c r="G2" s="87"/>
      <c r="H2" s="87"/>
      <c r="I2" s="87"/>
      <c r="J2" s="87"/>
      <c r="K2" s="87"/>
      <c r="L2" s="87"/>
      <c r="M2" s="87"/>
      <c r="N2" s="89" t="s">
        <v>1</v>
      </c>
      <c r="O2" s="89"/>
      <c r="P2" s="295"/>
    </row>
    <row r="3" spans="1:16" ht="12.75">
      <c r="A3" s="90"/>
      <c r="B3" s="90"/>
      <c r="C3" s="90"/>
      <c r="D3" s="87"/>
      <c r="E3" s="87"/>
      <c r="F3" s="87"/>
      <c r="G3" s="87"/>
      <c r="H3" s="87"/>
      <c r="I3" s="87"/>
      <c r="J3" s="87"/>
      <c r="K3" s="87"/>
      <c r="L3" s="87"/>
      <c r="M3" s="87"/>
      <c r="N3" s="481" t="s">
        <v>2</v>
      </c>
      <c r="O3" s="481"/>
      <c r="P3" s="295"/>
    </row>
    <row r="4" spans="1:16" ht="12.75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481" t="s">
        <v>3</v>
      </c>
      <c r="O4" s="481"/>
      <c r="P4" s="295"/>
    </row>
    <row r="5" spans="1:16" ht="12.75">
      <c r="A5" s="87"/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</row>
    <row r="6" spans="1:16" ht="12.75">
      <c r="A6" s="87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91" t="s">
        <v>4</v>
      </c>
      <c r="P6" s="294"/>
    </row>
    <row r="7" spans="1:16" ht="12.75">
      <c r="A7" s="87"/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91">
        <v>301017</v>
      </c>
      <c r="P7" s="294"/>
    </row>
    <row r="8" spans="1:16" ht="13.5" thickBot="1">
      <c r="A8" s="92"/>
      <c r="B8" s="92"/>
      <c r="C8" s="93" t="s">
        <v>275</v>
      </c>
      <c r="D8" s="93"/>
      <c r="E8" s="93"/>
      <c r="F8" s="93"/>
      <c r="G8" s="93"/>
      <c r="H8" s="93"/>
      <c r="I8" s="93"/>
      <c r="J8" s="93"/>
      <c r="K8" s="93"/>
      <c r="L8" s="94"/>
      <c r="M8" s="92"/>
      <c r="N8" s="92"/>
      <c r="O8" s="95"/>
      <c r="P8" s="96"/>
    </row>
    <row r="9" spans="1:16" ht="12.75">
      <c r="A9" s="87"/>
      <c r="B9" s="87"/>
      <c r="C9" s="87"/>
      <c r="D9" s="482" t="s">
        <v>5</v>
      </c>
      <c r="E9" s="482"/>
      <c r="F9" s="482"/>
      <c r="G9" s="168"/>
      <c r="H9" s="87"/>
      <c r="I9" s="87"/>
      <c r="J9" s="87"/>
      <c r="K9" s="87"/>
      <c r="L9" s="87"/>
      <c r="M9" s="87"/>
      <c r="N9" s="87"/>
      <c r="O9" s="87"/>
      <c r="P9" s="87"/>
    </row>
    <row r="10" spans="1:16" ht="12.75">
      <c r="A10" s="87"/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</row>
    <row r="11" spans="1:16" ht="12.75">
      <c r="A11" s="87"/>
      <c r="B11" s="87"/>
      <c r="C11" s="87"/>
      <c r="D11" s="87"/>
      <c r="E11" s="483" t="s">
        <v>6</v>
      </c>
      <c r="F11" s="483"/>
      <c r="G11" s="169"/>
      <c r="H11" s="484"/>
      <c r="I11" s="484"/>
      <c r="J11" s="484"/>
      <c r="K11" s="484"/>
      <c r="L11" s="484"/>
      <c r="M11" s="484"/>
      <c r="N11" s="87"/>
      <c r="O11" s="87"/>
      <c r="P11" s="87"/>
    </row>
    <row r="12" spans="1:21" ht="12.75">
      <c r="A12" s="87"/>
      <c r="B12" s="87"/>
      <c r="C12" s="485" t="s">
        <v>7</v>
      </c>
      <c r="D12" s="485"/>
      <c r="E12" s="483">
        <v>1</v>
      </c>
      <c r="F12" s="483"/>
      <c r="G12" s="169"/>
      <c r="H12" s="484"/>
      <c r="I12" s="484"/>
      <c r="J12" s="484"/>
      <c r="K12" s="484"/>
      <c r="L12" s="484"/>
      <c r="M12" s="484"/>
      <c r="N12" s="87" t="s">
        <v>8</v>
      </c>
      <c r="O12" s="87"/>
      <c r="P12" s="87"/>
      <c r="T12" s="486"/>
      <c r="U12" s="486"/>
    </row>
    <row r="13" spans="13:21" ht="12.75">
      <c r="M13" s="498" t="s">
        <v>71</v>
      </c>
      <c r="N13" s="498"/>
      <c r="O13" s="498"/>
      <c r="P13" s="97"/>
      <c r="T13" s="486"/>
      <c r="U13" s="486"/>
    </row>
    <row r="14" spans="2:21" ht="12.75">
      <c r="B14" s="487" t="s">
        <v>280</v>
      </c>
      <c r="C14" s="487"/>
      <c r="D14" s="487"/>
      <c r="E14" s="487"/>
      <c r="F14" s="98"/>
      <c r="G14" s="98"/>
      <c r="M14" s="90" t="s">
        <v>274</v>
      </c>
      <c r="N14" s="90"/>
      <c r="O14" s="90"/>
      <c r="P14" s="99"/>
      <c r="T14" s="100"/>
      <c r="U14" s="101"/>
    </row>
    <row r="15" spans="2:21" ht="12.75">
      <c r="B15" s="294"/>
      <c r="C15" s="294"/>
      <c r="D15" s="294"/>
      <c r="E15" s="294"/>
      <c r="F15" s="98"/>
      <c r="G15" s="98"/>
      <c r="M15" s="90" t="s">
        <v>279</v>
      </c>
      <c r="N15" s="90"/>
      <c r="O15" s="90"/>
      <c r="P15" s="99"/>
      <c r="T15" s="100"/>
      <c r="U15" s="101"/>
    </row>
    <row r="17" spans="1:21" ht="12.75" customHeight="1">
      <c r="A17" s="488" t="s">
        <v>9</v>
      </c>
      <c r="B17" s="488"/>
      <c r="C17" s="102" t="s">
        <v>10</v>
      </c>
      <c r="D17" s="489" t="s">
        <v>72</v>
      </c>
      <c r="E17" s="490" t="s">
        <v>73</v>
      </c>
      <c r="F17" s="490"/>
      <c r="G17" s="490"/>
      <c r="H17" s="490"/>
      <c r="I17" s="490"/>
      <c r="J17" s="490"/>
      <c r="K17" s="490"/>
      <c r="L17" s="490"/>
      <c r="M17" s="490"/>
      <c r="N17" s="490"/>
      <c r="O17" s="490"/>
      <c r="P17" s="490"/>
      <c r="Q17" s="490"/>
      <c r="R17" s="490"/>
      <c r="S17" s="490"/>
      <c r="T17" s="490"/>
      <c r="U17" s="490"/>
    </row>
    <row r="18" spans="1:21" ht="12.75" customHeight="1">
      <c r="A18" s="488" t="s">
        <v>12</v>
      </c>
      <c r="B18" s="102"/>
      <c r="C18" s="103" t="s">
        <v>11</v>
      </c>
      <c r="D18" s="489"/>
      <c r="E18" s="490" t="s">
        <v>74</v>
      </c>
      <c r="F18" s="490"/>
      <c r="G18" s="490"/>
      <c r="H18" s="490"/>
      <c r="I18" s="490"/>
      <c r="J18" s="490"/>
      <c r="K18" s="490"/>
      <c r="L18" s="490"/>
      <c r="M18" s="490"/>
      <c r="N18" s="490"/>
      <c r="O18" s="490"/>
      <c r="P18" s="490"/>
      <c r="Q18" s="490"/>
      <c r="R18" s="497" t="s">
        <v>75</v>
      </c>
      <c r="S18" s="497" t="s">
        <v>27</v>
      </c>
      <c r="T18" s="497" t="s">
        <v>76</v>
      </c>
      <c r="U18" s="490" t="s">
        <v>77</v>
      </c>
    </row>
    <row r="19" spans="1:22" ht="12.75" customHeight="1">
      <c r="A19" s="488"/>
      <c r="B19" s="103"/>
      <c r="C19" s="103"/>
      <c r="D19" s="489"/>
      <c r="E19" s="497" t="s">
        <v>78</v>
      </c>
      <c r="F19" s="497" t="s">
        <v>202</v>
      </c>
      <c r="G19" s="497" t="s">
        <v>208</v>
      </c>
      <c r="H19" s="494" t="s">
        <v>25</v>
      </c>
      <c r="I19" s="495" t="s">
        <v>171</v>
      </c>
      <c r="J19" s="495" t="s">
        <v>27</v>
      </c>
      <c r="K19" s="494" t="s">
        <v>80</v>
      </c>
      <c r="L19" s="497" t="s">
        <v>81</v>
      </c>
      <c r="M19" s="497" t="s">
        <v>82</v>
      </c>
      <c r="N19" s="497" t="s">
        <v>27</v>
      </c>
      <c r="O19" s="497" t="s">
        <v>83</v>
      </c>
      <c r="P19" s="497" t="s">
        <v>27</v>
      </c>
      <c r="Q19" s="490" t="s">
        <v>84</v>
      </c>
      <c r="R19" s="497"/>
      <c r="S19" s="497"/>
      <c r="T19" s="497"/>
      <c r="U19" s="490"/>
      <c r="V19" s="104"/>
    </row>
    <row r="20" spans="1:21" ht="21" customHeight="1">
      <c r="A20" s="488"/>
      <c r="B20" s="35" t="s">
        <v>13</v>
      </c>
      <c r="C20" s="35" t="s">
        <v>14</v>
      </c>
      <c r="D20" s="489"/>
      <c r="E20" s="497"/>
      <c r="F20" s="497"/>
      <c r="G20" s="497"/>
      <c r="H20" s="494"/>
      <c r="I20" s="496"/>
      <c r="J20" s="496"/>
      <c r="K20" s="494"/>
      <c r="L20" s="497"/>
      <c r="M20" s="497"/>
      <c r="N20" s="497"/>
      <c r="O20" s="497"/>
      <c r="P20" s="497"/>
      <c r="Q20" s="490"/>
      <c r="R20" s="497"/>
      <c r="S20" s="497"/>
      <c r="T20" s="497"/>
      <c r="U20" s="490"/>
    </row>
    <row r="21" spans="1:21" ht="12.75">
      <c r="A21" s="35">
        <v>1</v>
      </c>
      <c r="B21" s="35">
        <v>2</v>
      </c>
      <c r="C21" s="35">
        <v>3</v>
      </c>
      <c r="D21" s="35">
        <v>4</v>
      </c>
      <c r="E21" s="105">
        <v>5</v>
      </c>
      <c r="F21" s="105">
        <v>6</v>
      </c>
      <c r="G21" s="105">
        <v>7</v>
      </c>
      <c r="H21" s="105">
        <v>8</v>
      </c>
      <c r="I21" s="105">
        <v>9</v>
      </c>
      <c r="J21" s="105">
        <v>10</v>
      </c>
      <c r="K21" s="105">
        <v>11</v>
      </c>
      <c r="L21" s="105">
        <v>12</v>
      </c>
      <c r="M21" s="105">
        <v>13</v>
      </c>
      <c r="N21" s="105">
        <v>14</v>
      </c>
      <c r="O21" s="105">
        <v>15</v>
      </c>
      <c r="P21" s="105">
        <v>16</v>
      </c>
      <c r="Q21" s="105">
        <v>17</v>
      </c>
      <c r="R21" s="105">
        <v>18</v>
      </c>
      <c r="S21" s="105">
        <v>19</v>
      </c>
      <c r="T21" s="105">
        <v>20</v>
      </c>
      <c r="U21" s="105">
        <v>21</v>
      </c>
    </row>
    <row r="22" spans="1:21" ht="13.5">
      <c r="A22" s="499" t="s">
        <v>85</v>
      </c>
      <c r="B22" s="515"/>
      <c r="C22" s="515"/>
      <c r="D22" s="515"/>
      <c r="E22" s="515"/>
      <c r="F22" s="515"/>
      <c r="G22" s="515"/>
      <c r="H22" s="515"/>
      <c r="I22" s="515"/>
      <c r="J22" s="515"/>
      <c r="K22" s="515"/>
      <c r="L22" s="515"/>
      <c r="M22" s="515"/>
      <c r="N22" s="515"/>
      <c r="O22" s="515"/>
      <c r="P22" s="515"/>
      <c r="Q22" s="515"/>
      <c r="R22" s="515"/>
      <c r="S22" s="515"/>
      <c r="T22" s="515"/>
      <c r="U22" s="516"/>
    </row>
    <row r="23" spans="1:21" ht="12.75">
      <c r="A23" s="53"/>
      <c r="B23" s="54"/>
      <c r="C23" s="246" t="s">
        <v>90</v>
      </c>
      <c r="D23" s="54">
        <v>1</v>
      </c>
      <c r="E23" s="38">
        <v>2597</v>
      </c>
      <c r="F23" s="56"/>
      <c r="G23" s="56"/>
      <c r="H23" s="37">
        <f>E23*D23</f>
        <v>2597</v>
      </c>
      <c r="I23" s="37"/>
      <c r="J23" s="42"/>
      <c r="K23" s="38">
        <f aca="true" t="shared" si="0" ref="K23:K31">H23*L23</f>
        <v>311.64</v>
      </c>
      <c r="L23" s="57">
        <v>0.12</v>
      </c>
      <c r="M23" s="37">
        <f>H23*N23</f>
        <v>649.25</v>
      </c>
      <c r="N23" s="23">
        <v>0.25</v>
      </c>
      <c r="O23" s="52">
        <f>(E23+F23)*P23</f>
        <v>0</v>
      </c>
      <c r="P23" s="23"/>
      <c r="Q23" s="49">
        <f>H23+K23+M23+O23+I23</f>
        <v>3557.89</v>
      </c>
      <c r="R23" s="37">
        <f>H23*S23</f>
        <v>0</v>
      </c>
      <c r="S23" s="42">
        <v>0</v>
      </c>
      <c r="T23" s="37">
        <f aca="true" t="shared" si="1" ref="T23:T31">(Q23+R23)*0.6</f>
        <v>2134.734</v>
      </c>
      <c r="U23" s="49">
        <f aca="true" t="shared" si="2" ref="U23:U31">Q23+R23+T23</f>
        <v>5692.624</v>
      </c>
    </row>
    <row r="24" spans="1:21" ht="12.75">
      <c r="A24" s="53"/>
      <c r="B24" s="54"/>
      <c r="C24" s="47" t="s">
        <v>90</v>
      </c>
      <c r="D24" s="54">
        <v>1</v>
      </c>
      <c r="E24" s="38">
        <v>2231</v>
      </c>
      <c r="F24" s="56"/>
      <c r="G24" s="56"/>
      <c r="H24" s="37">
        <f>(E24+F24)*D24</f>
        <v>2231</v>
      </c>
      <c r="I24" s="37"/>
      <c r="J24" s="42"/>
      <c r="K24" s="38">
        <f t="shared" si="0"/>
        <v>267.71999999999997</v>
      </c>
      <c r="L24" s="57">
        <v>0.12</v>
      </c>
      <c r="M24" s="37">
        <f>H24*N24</f>
        <v>334.65</v>
      </c>
      <c r="N24" s="23">
        <v>0.15</v>
      </c>
      <c r="O24" s="52">
        <f>(E24+F24)*P24</f>
        <v>0</v>
      </c>
      <c r="P24" s="23"/>
      <c r="Q24" s="49">
        <f>H24+K24+M24+O24+I24</f>
        <v>2833.37</v>
      </c>
      <c r="R24" s="37">
        <f>H24*S24</f>
        <v>0</v>
      </c>
      <c r="S24" s="42">
        <v>0</v>
      </c>
      <c r="T24" s="37">
        <f t="shared" si="1"/>
        <v>1700.022</v>
      </c>
      <c r="U24" s="49">
        <f t="shared" si="2"/>
        <v>4533.392</v>
      </c>
    </row>
    <row r="25" spans="1:21" ht="12.75">
      <c r="A25" s="53"/>
      <c r="B25" s="54"/>
      <c r="C25" s="133" t="s">
        <v>277</v>
      </c>
      <c r="D25" s="54">
        <v>0.5</v>
      </c>
      <c r="E25" s="36">
        <v>5153</v>
      </c>
      <c r="F25" s="56"/>
      <c r="G25" s="261">
        <f>E25*20%</f>
        <v>1030.6000000000001</v>
      </c>
      <c r="H25" s="37">
        <f>(E25+F25+G25)*D25</f>
        <v>3091.8</v>
      </c>
      <c r="I25" s="37">
        <f>I26</f>
        <v>1288.25</v>
      </c>
      <c r="J25" s="42">
        <v>0.25</v>
      </c>
      <c r="K25" s="38">
        <f t="shared" si="0"/>
        <v>618.3600000000001</v>
      </c>
      <c r="L25" s="57">
        <v>0.2</v>
      </c>
      <c r="M25" s="37">
        <f>H25*N25</f>
        <v>772.95</v>
      </c>
      <c r="N25" s="23">
        <v>0.25</v>
      </c>
      <c r="O25" s="52"/>
      <c r="P25" s="23"/>
      <c r="Q25" s="49">
        <f>H25+K25+M25+O25+I25</f>
        <v>5771.360000000001</v>
      </c>
      <c r="R25" s="37"/>
      <c r="S25" s="42"/>
      <c r="T25" s="37">
        <f t="shared" si="1"/>
        <v>3462.8160000000003</v>
      </c>
      <c r="U25" s="49">
        <f t="shared" si="2"/>
        <v>9234.176000000001</v>
      </c>
    </row>
    <row r="26" spans="1:21" ht="12.75">
      <c r="A26" s="53"/>
      <c r="B26" s="54"/>
      <c r="C26" s="133" t="s">
        <v>278</v>
      </c>
      <c r="D26" s="54">
        <v>0.5</v>
      </c>
      <c r="E26" s="36">
        <v>5153</v>
      </c>
      <c r="F26" s="56"/>
      <c r="G26" s="261">
        <f>E26*20%</f>
        <v>1030.6000000000001</v>
      </c>
      <c r="H26" s="37">
        <f>(E26+F26+G26)*D26</f>
        <v>3091.8</v>
      </c>
      <c r="I26" s="37">
        <f>I27</f>
        <v>1288.25</v>
      </c>
      <c r="J26" s="42">
        <v>0.25</v>
      </c>
      <c r="K26" s="38">
        <f t="shared" si="0"/>
        <v>618.3600000000001</v>
      </c>
      <c r="L26" s="57">
        <v>0.2</v>
      </c>
      <c r="M26" s="37">
        <f>H26*N26</f>
        <v>772.95</v>
      </c>
      <c r="N26" s="23">
        <v>0.25</v>
      </c>
      <c r="O26" s="52"/>
      <c r="P26" s="23"/>
      <c r="Q26" s="49">
        <f>H26+K26+M26+O26+I26</f>
        <v>5771.360000000001</v>
      </c>
      <c r="R26" s="37"/>
      <c r="S26" s="42"/>
      <c r="T26" s="37">
        <f t="shared" si="1"/>
        <v>3462.8160000000003</v>
      </c>
      <c r="U26" s="49">
        <f t="shared" si="2"/>
        <v>9234.176000000001</v>
      </c>
    </row>
    <row r="27" spans="1:21" ht="12.75">
      <c r="A27" s="53"/>
      <c r="B27" s="54"/>
      <c r="C27" s="22" t="s">
        <v>125</v>
      </c>
      <c r="D27" s="155">
        <f>D28</f>
        <v>1</v>
      </c>
      <c r="E27" s="36">
        <v>5153</v>
      </c>
      <c r="F27" s="56"/>
      <c r="G27" s="56"/>
      <c r="H27" s="37">
        <f>H28</f>
        <v>6183.6</v>
      </c>
      <c r="I27" s="37">
        <f>I28</f>
        <v>1288.25</v>
      </c>
      <c r="J27" s="42">
        <v>0.25</v>
      </c>
      <c r="K27" s="38">
        <f t="shared" si="0"/>
        <v>0</v>
      </c>
      <c r="L27" s="57"/>
      <c r="M27" s="37">
        <f>M28</f>
        <v>1288.25</v>
      </c>
      <c r="N27" s="23">
        <v>0.25</v>
      </c>
      <c r="O27" s="37">
        <f>O28</f>
        <v>515.3000000000001</v>
      </c>
      <c r="P27" s="23">
        <v>0.1</v>
      </c>
      <c r="Q27" s="37">
        <f>Q28</f>
        <v>9275.400000000001</v>
      </c>
      <c r="R27" s="37">
        <f>H27*S27</f>
        <v>0</v>
      </c>
      <c r="S27" s="42">
        <v>0</v>
      </c>
      <c r="T27" s="37">
        <f t="shared" si="1"/>
        <v>5565.240000000001</v>
      </c>
      <c r="U27" s="49">
        <f t="shared" si="2"/>
        <v>14840.640000000003</v>
      </c>
    </row>
    <row r="28" spans="1:21" ht="12.75">
      <c r="A28" s="53"/>
      <c r="B28" s="54"/>
      <c r="C28" s="247" t="s">
        <v>43</v>
      </c>
      <c r="D28" s="54">
        <v>1</v>
      </c>
      <c r="E28" s="36">
        <v>5153</v>
      </c>
      <c r="F28" s="56"/>
      <c r="G28" s="261">
        <f>E28*20%</f>
        <v>1030.6000000000001</v>
      </c>
      <c r="H28" s="37">
        <f>(E28+F28+G28)*D28</f>
        <v>6183.6</v>
      </c>
      <c r="I28" s="37">
        <f>E28*D28*J28</f>
        <v>1288.25</v>
      </c>
      <c r="J28" s="42">
        <v>0.25</v>
      </c>
      <c r="K28" s="38">
        <f t="shared" si="0"/>
        <v>0</v>
      </c>
      <c r="L28" s="57"/>
      <c r="M28" s="37">
        <f>E28*D28*N28</f>
        <v>1288.25</v>
      </c>
      <c r="N28" s="23">
        <v>0.25</v>
      </c>
      <c r="O28" s="52">
        <f>(E28+F28)*P28</f>
        <v>515.3000000000001</v>
      </c>
      <c r="P28" s="23">
        <v>0.1</v>
      </c>
      <c r="Q28" s="49">
        <f>H28+K28+M28+O28+I28</f>
        <v>9275.400000000001</v>
      </c>
      <c r="R28" s="37"/>
      <c r="S28" s="42"/>
      <c r="T28" s="37">
        <f t="shared" si="1"/>
        <v>5565.240000000001</v>
      </c>
      <c r="U28" s="49">
        <f t="shared" si="2"/>
        <v>14840.640000000003</v>
      </c>
    </row>
    <row r="29" spans="1:21" ht="12.75">
      <c r="A29" s="53"/>
      <c r="B29" s="54"/>
      <c r="C29" s="69" t="s">
        <v>92</v>
      </c>
      <c r="D29" s="155">
        <v>0.5</v>
      </c>
      <c r="E29" s="38">
        <v>3774</v>
      </c>
      <c r="F29" s="56"/>
      <c r="G29" s="261"/>
      <c r="H29" s="37">
        <f>H30</f>
        <v>2264.4</v>
      </c>
      <c r="I29" s="37">
        <f>I30</f>
        <v>471.75</v>
      </c>
      <c r="J29" s="37">
        <f aca="true" t="shared" si="3" ref="J29:T29">J30</f>
        <v>0.25</v>
      </c>
      <c r="K29" s="37">
        <f t="shared" si="3"/>
        <v>0</v>
      </c>
      <c r="L29" s="37">
        <f t="shared" si="3"/>
        <v>0</v>
      </c>
      <c r="M29" s="37">
        <f t="shared" si="3"/>
        <v>94.35000000000001</v>
      </c>
      <c r="N29" s="37">
        <f t="shared" si="3"/>
        <v>0.05</v>
      </c>
      <c r="O29" s="37">
        <f t="shared" si="3"/>
        <v>0</v>
      </c>
      <c r="P29" s="37">
        <f t="shared" si="3"/>
        <v>0</v>
      </c>
      <c r="Q29" s="37">
        <f t="shared" si="3"/>
        <v>2830.5</v>
      </c>
      <c r="R29" s="37">
        <f t="shared" si="3"/>
        <v>0</v>
      </c>
      <c r="S29" s="37">
        <f t="shared" si="3"/>
        <v>0</v>
      </c>
      <c r="T29" s="37">
        <f t="shared" si="3"/>
        <v>1698.3</v>
      </c>
      <c r="U29" s="49">
        <f t="shared" si="2"/>
        <v>4528.8</v>
      </c>
    </row>
    <row r="30" spans="1:21" ht="12.75">
      <c r="A30" s="53"/>
      <c r="B30" s="54"/>
      <c r="C30" s="47" t="s">
        <v>50</v>
      </c>
      <c r="D30" s="54">
        <v>0.5</v>
      </c>
      <c r="E30" s="36">
        <v>3774</v>
      </c>
      <c r="F30" s="65"/>
      <c r="G30" s="261">
        <f>E30*20%</f>
        <v>754.8000000000001</v>
      </c>
      <c r="H30" s="37">
        <f>(E30+F30+G30)*D30</f>
        <v>2264.4</v>
      </c>
      <c r="I30" s="37">
        <f>E30*D30*J30</f>
        <v>471.75</v>
      </c>
      <c r="J30" s="42">
        <v>0.25</v>
      </c>
      <c r="K30" s="38">
        <f t="shared" si="0"/>
        <v>0</v>
      </c>
      <c r="L30" s="66"/>
      <c r="M30" s="37">
        <f>E30*D30*N30</f>
        <v>94.35000000000001</v>
      </c>
      <c r="N30" s="48">
        <v>0.05</v>
      </c>
      <c r="O30" s="52"/>
      <c r="P30" s="48"/>
      <c r="Q30" s="49">
        <f>H30+K30+M30+O30+I30</f>
        <v>2830.5</v>
      </c>
      <c r="R30" s="37"/>
      <c r="S30" s="42"/>
      <c r="T30" s="37">
        <f t="shared" si="1"/>
        <v>1698.3</v>
      </c>
      <c r="U30" s="49">
        <f t="shared" si="2"/>
        <v>4528.8</v>
      </c>
    </row>
    <row r="31" spans="1:21" ht="12.75">
      <c r="A31" s="53"/>
      <c r="B31" s="54"/>
      <c r="C31" s="68" t="s">
        <v>169</v>
      </c>
      <c r="D31" s="155">
        <v>1</v>
      </c>
      <c r="E31" s="36">
        <v>4707</v>
      </c>
      <c r="F31" s="260">
        <v>706.05</v>
      </c>
      <c r="G31" s="261">
        <f>E31*20%</f>
        <v>941.4000000000001</v>
      </c>
      <c r="H31" s="37">
        <f>(E31+F31)*D31</f>
        <v>5413.05</v>
      </c>
      <c r="I31" s="37">
        <f>H31*J31</f>
        <v>1353.2625</v>
      </c>
      <c r="J31" s="42">
        <v>0.25</v>
      </c>
      <c r="K31" s="38">
        <f t="shared" si="0"/>
        <v>1082.6100000000001</v>
      </c>
      <c r="L31" s="66">
        <v>0.2</v>
      </c>
      <c r="M31" s="37">
        <f>H31*N31</f>
        <v>1353.2625</v>
      </c>
      <c r="N31" s="48">
        <v>0.25</v>
      </c>
      <c r="O31" s="52">
        <v>0</v>
      </c>
      <c r="P31" s="48"/>
      <c r="Q31" s="49">
        <f>H31+K31+M31+O31+I31</f>
        <v>9202.185</v>
      </c>
      <c r="R31" s="37">
        <v>0</v>
      </c>
      <c r="S31" s="42">
        <v>0</v>
      </c>
      <c r="T31" s="37">
        <f t="shared" si="1"/>
        <v>5521.311</v>
      </c>
      <c r="U31" s="49">
        <f t="shared" si="2"/>
        <v>14723.496</v>
      </c>
    </row>
    <row r="32" spans="1:21" ht="12.75">
      <c r="A32" s="53"/>
      <c r="B32" s="54"/>
      <c r="C32" s="68" t="s">
        <v>270</v>
      </c>
      <c r="D32" s="35">
        <v>1</v>
      </c>
      <c r="E32" s="36">
        <v>4133</v>
      </c>
      <c r="F32" s="65"/>
      <c r="G32" s="167">
        <f>E32*20%</f>
        <v>826.6</v>
      </c>
      <c r="H32" s="37">
        <f>(E32+F32+G32)*D32</f>
        <v>4959.6</v>
      </c>
      <c r="I32" s="37">
        <f>E32*D32*J32</f>
        <v>1033.25</v>
      </c>
      <c r="J32" s="42">
        <v>0.25</v>
      </c>
      <c r="K32" s="36"/>
      <c r="L32" s="66"/>
      <c r="M32" s="37">
        <f>E32*D32*N32</f>
        <v>206.65</v>
      </c>
      <c r="N32" s="48">
        <v>0.05</v>
      </c>
      <c r="O32" s="61"/>
      <c r="P32" s="48"/>
      <c r="Q32" s="49">
        <f>H32+K32+M32+O32+I32</f>
        <v>6199.5</v>
      </c>
      <c r="R32" s="60"/>
      <c r="S32" s="86"/>
      <c r="T32" s="37">
        <f>(Q32+R32)*0.6</f>
        <v>3719.7</v>
      </c>
      <c r="U32" s="49">
        <f>Q32+R32+T32</f>
        <v>9919.2</v>
      </c>
    </row>
    <row r="33" spans="1:21" ht="12.75">
      <c r="A33" s="53"/>
      <c r="B33" s="54"/>
      <c r="C33" s="68" t="s">
        <v>187</v>
      </c>
      <c r="D33" s="32">
        <f>D34</f>
        <v>1</v>
      </c>
      <c r="E33" s="36">
        <v>4103</v>
      </c>
      <c r="F33" s="65"/>
      <c r="G33" s="170"/>
      <c r="H33" s="60">
        <v>3568</v>
      </c>
      <c r="I33" s="60">
        <f>I34</f>
        <v>1025.75</v>
      </c>
      <c r="J33" s="42">
        <v>0.25</v>
      </c>
      <c r="K33" s="36"/>
      <c r="L33" s="66"/>
      <c r="M33" s="37">
        <f>M34</f>
        <v>410.3</v>
      </c>
      <c r="N33" s="48"/>
      <c r="O33" s="61"/>
      <c r="P33" s="48"/>
      <c r="Q33" s="49">
        <f>Q34</f>
        <v>6359.650000000001</v>
      </c>
      <c r="R33" s="60"/>
      <c r="S33" s="86"/>
      <c r="T33" s="37">
        <f>(Q33+R33)*0.6</f>
        <v>3815.79</v>
      </c>
      <c r="U33" s="49">
        <f>Q33+R33+T33</f>
        <v>10175.44</v>
      </c>
    </row>
    <row r="34" spans="1:21" ht="12.75">
      <c r="A34" s="53"/>
      <c r="B34" s="54"/>
      <c r="C34" s="47" t="s">
        <v>212</v>
      </c>
      <c r="D34" s="35">
        <v>1</v>
      </c>
      <c r="E34" s="36">
        <v>4103</v>
      </c>
      <c r="F34" s="65"/>
      <c r="G34" s="167">
        <f>E34*20%</f>
        <v>820.6</v>
      </c>
      <c r="H34" s="37">
        <f>(E34+F34+G34)*D34</f>
        <v>4923.6</v>
      </c>
      <c r="I34" s="37">
        <f>E34*D34*J34</f>
        <v>1025.75</v>
      </c>
      <c r="J34" s="42">
        <v>0.25</v>
      </c>
      <c r="K34" s="36"/>
      <c r="L34" s="66"/>
      <c r="M34" s="37">
        <f>E34*D34*N34</f>
        <v>410.3</v>
      </c>
      <c r="N34" s="48">
        <v>0.1</v>
      </c>
      <c r="O34" s="61"/>
      <c r="P34" s="48"/>
      <c r="Q34" s="49">
        <f>H34+K34+M34+O34+I34</f>
        <v>6359.650000000001</v>
      </c>
      <c r="R34" s="60"/>
      <c r="S34" s="86"/>
      <c r="T34" s="37">
        <f>(Q34+R34)*0.6</f>
        <v>3815.79</v>
      </c>
      <c r="U34" s="49">
        <f>Q34+R34+T34</f>
        <v>10175.44</v>
      </c>
    </row>
    <row r="35" spans="1:21" ht="12.75">
      <c r="A35" s="53"/>
      <c r="B35" s="54"/>
      <c r="C35" s="68" t="s">
        <v>98</v>
      </c>
      <c r="D35" s="67">
        <f>D36+D37+D38</f>
        <v>2.2777777777777777</v>
      </c>
      <c r="E35" s="31">
        <v>5153</v>
      </c>
      <c r="F35" s="31">
        <f>F36+F37+F38</f>
        <v>1288.25</v>
      </c>
      <c r="G35" s="31"/>
      <c r="H35" s="31">
        <f>H36+H37+H38</f>
        <v>14666.838888888888</v>
      </c>
      <c r="I35" s="31">
        <f>I36+I37+I38</f>
        <v>2846.847222222222</v>
      </c>
      <c r="J35" s="50">
        <v>0.25</v>
      </c>
      <c r="K35" s="31">
        <f aca="true" t="shared" si="4" ref="K35:R35">K36+K37</f>
        <v>0</v>
      </c>
      <c r="L35" s="33">
        <f t="shared" si="4"/>
        <v>0</v>
      </c>
      <c r="M35" s="31">
        <f>M36+M37+M38</f>
        <v>5124.325</v>
      </c>
      <c r="N35" s="33">
        <f>N36+N37+N38</f>
        <v>1.35</v>
      </c>
      <c r="O35" s="31">
        <f>O36+O37+O38</f>
        <v>515.3000000000001</v>
      </c>
      <c r="P35" s="33">
        <f t="shared" si="4"/>
        <v>0.1</v>
      </c>
      <c r="Q35" s="31">
        <f>Q36+Q37+Q38</f>
        <v>23153.31111111111</v>
      </c>
      <c r="R35" s="31">
        <f t="shared" si="4"/>
        <v>0</v>
      </c>
      <c r="S35" s="34">
        <v>0</v>
      </c>
      <c r="T35" s="31">
        <f>T36+T37+T38</f>
        <v>13891.986666666668</v>
      </c>
      <c r="U35" s="31">
        <f>U36+U37+U38</f>
        <v>37045.29777777778</v>
      </c>
    </row>
    <row r="36" spans="1:21" ht="12.75">
      <c r="A36" s="53"/>
      <c r="B36" s="54"/>
      <c r="C36" s="44" t="s">
        <v>32</v>
      </c>
      <c r="D36" s="283">
        <f>'повыш. коэфф.01.01.16'!H8/18</f>
        <v>0.7777777777777778</v>
      </c>
      <c r="E36" s="25">
        <v>5153</v>
      </c>
      <c r="F36" s="25">
        <v>1288.25</v>
      </c>
      <c r="G36" s="167">
        <f>E36*20%</f>
        <v>1030.6000000000001</v>
      </c>
      <c r="H36" s="284">
        <f>(E36+F36+G36)*D36</f>
        <v>5811.438888888889</v>
      </c>
      <c r="I36" s="37">
        <f>E36*D36*J36</f>
        <v>1001.9722222222223</v>
      </c>
      <c r="J36" s="42">
        <v>0.25</v>
      </c>
      <c r="K36" s="25"/>
      <c r="L36" s="26"/>
      <c r="M36" s="37">
        <f>E36*D36*N36</f>
        <v>1803.5500000000002</v>
      </c>
      <c r="N36" s="26">
        <v>0.45</v>
      </c>
      <c r="O36" s="31">
        <f>E36*P36</f>
        <v>515.3000000000001</v>
      </c>
      <c r="P36" s="26">
        <v>0.1</v>
      </c>
      <c r="Q36" s="49">
        <f>H36+K36+M36+O36+I36</f>
        <v>9132.261111111111</v>
      </c>
      <c r="R36" s="248">
        <f>H36*S36</f>
        <v>0</v>
      </c>
      <c r="S36" s="249"/>
      <c r="T36" s="248">
        <f>(Q36+R36)*0.6</f>
        <v>5479.356666666667</v>
      </c>
      <c r="U36" s="27">
        <f>Q36+R36+T36</f>
        <v>14611.617777777778</v>
      </c>
    </row>
    <row r="37" spans="1:21" ht="12.75">
      <c r="A37" s="53"/>
      <c r="B37" s="54"/>
      <c r="C37" s="250" t="s">
        <v>286</v>
      </c>
      <c r="D37" s="284">
        <f>'повыш. коэфф.01.01.16'!H9/18</f>
        <v>0.5555555555555556</v>
      </c>
      <c r="E37" s="251">
        <v>4523</v>
      </c>
      <c r="F37" s="251">
        <v>0</v>
      </c>
      <c r="G37" s="167">
        <f>E37*20%</f>
        <v>904.6</v>
      </c>
      <c r="H37" s="284">
        <f aca="true" t="shared" si="5" ref="H37:H68">(E37+F37+G37)*D37</f>
        <v>3015.3333333333335</v>
      </c>
      <c r="I37" s="37">
        <f>E37*D37*J37</f>
        <v>628.1944444444445</v>
      </c>
      <c r="J37" s="42">
        <v>0.25</v>
      </c>
      <c r="K37" s="251"/>
      <c r="L37" s="252"/>
      <c r="M37" s="37">
        <f>E37*D37*N37</f>
        <v>1130.75</v>
      </c>
      <c r="N37" s="252">
        <v>0.45</v>
      </c>
      <c r="O37" s="31">
        <f>E37*P37</f>
        <v>0</v>
      </c>
      <c r="P37" s="252">
        <v>0</v>
      </c>
      <c r="Q37" s="49">
        <f>H37+K37+M37+O37+I37</f>
        <v>4774.277777777778</v>
      </c>
      <c r="R37" s="248">
        <f>H37*S37</f>
        <v>0</v>
      </c>
      <c r="S37" s="249"/>
      <c r="T37" s="248">
        <f>(Q37+R37)*0.6</f>
        <v>2864.566666666667</v>
      </c>
      <c r="U37" s="27">
        <f>Q37+R37+T37</f>
        <v>7638.844444444445</v>
      </c>
    </row>
    <row r="38" spans="1:21" ht="12.75">
      <c r="A38" s="53"/>
      <c r="B38" s="54"/>
      <c r="C38" s="44" t="s">
        <v>188</v>
      </c>
      <c r="D38" s="283">
        <f>'повыш. коэфф.01.01.16'!H10/18</f>
        <v>0.9444444444444444</v>
      </c>
      <c r="E38" s="25">
        <v>5153</v>
      </c>
      <c r="F38" s="25">
        <v>0</v>
      </c>
      <c r="G38" s="167">
        <f>E38*20%</f>
        <v>1030.6000000000001</v>
      </c>
      <c r="H38" s="284">
        <f t="shared" si="5"/>
        <v>5840.066666666667</v>
      </c>
      <c r="I38" s="37">
        <f>E38*D38*J38</f>
        <v>1216.6805555555554</v>
      </c>
      <c r="J38" s="42">
        <v>0.25</v>
      </c>
      <c r="K38" s="25"/>
      <c r="L38" s="26"/>
      <c r="M38" s="37">
        <f>E38*D38*N38</f>
        <v>2190.0249999999996</v>
      </c>
      <c r="N38" s="26">
        <v>0.45</v>
      </c>
      <c r="O38" s="31">
        <f>E38*P38</f>
        <v>0</v>
      </c>
      <c r="P38" s="26"/>
      <c r="Q38" s="49">
        <f>H38+K38+M38+O38+I38</f>
        <v>9246.772222222222</v>
      </c>
      <c r="R38" s="28">
        <v>0</v>
      </c>
      <c r="S38" s="29"/>
      <c r="T38" s="248">
        <f>(Q38+R38)*0.6</f>
        <v>5548.063333333333</v>
      </c>
      <c r="U38" s="27">
        <f>Q38+R38+T38</f>
        <v>14794.835555555554</v>
      </c>
    </row>
    <row r="39" spans="1:21" ht="12.75">
      <c r="A39" s="53"/>
      <c r="B39" s="54"/>
      <c r="C39" s="45" t="s">
        <v>150</v>
      </c>
      <c r="D39" s="30">
        <f>D40+D41</f>
        <v>2.4444444444444446</v>
      </c>
      <c r="E39" s="30">
        <f aca="true" t="shared" si="6" ref="E39:U39">E40+E41</f>
        <v>10306</v>
      </c>
      <c r="F39" s="30">
        <f t="shared" si="6"/>
        <v>1288.25</v>
      </c>
      <c r="G39" s="30">
        <f t="shared" si="6"/>
        <v>2061.2000000000003</v>
      </c>
      <c r="H39" s="30">
        <f t="shared" si="6"/>
        <v>16332.147222222224</v>
      </c>
      <c r="I39" s="30">
        <f t="shared" si="6"/>
        <v>3149.0555555555557</v>
      </c>
      <c r="J39" s="30">
        <f t="shared" si="6"/>
        <v>0.5</v>
      </c>
      <c r="K39" s="30">
        <f t="shared" si="6"/>
        <v>0</v>
      </c>
      <c r="L39" s="30">
        <f t="shared" si="6"/>
        <v>0</v>
      </c>
      <c r="M39" s="30">
        <f t="shared" si="6"/>
        <v>6298.111111111111</v>
      </c>
      <c r="N39" s="30">
        <f t="shared" si="6"/>
        <v>1</v>
      </c>
      <c r="O39" s="30">
        <f t="shared" si="6"/>
        <v>1030.6000000000001</v>
      </c>
      <c r="P39" s="30">
        <f t="shared" si="6"/>
        <v>0.2</v>
      </c>
      <c r="Q39" s="30">
        <f t="shared" si="6"/>
        <v>26809.91388888889</v>
      </c>
      <c r="R39" s="30">
        <f t="shared" si="6"/>
        <v>0</v>
      </c>
      <c r="S39" s="30">
        <f t="shared" si="6"/>
        <v>0</v>
      </c>
      <c r="T39" s="30">
        <f t="shared" si="6"/>
        <v>16085.948333333332</v>
      </c>
      <c r="U39" s="30">
        <f t="shared" si="6"/>
        <v>42895.86222222222</v>
      </c>
    </row>
    <row r="40" spans="1:40" ht="12.75">
      <c r="A40" s="53"/>
      <c r="B40" s="54"/>
      <c r="C40" s="253" t="s">
        <v>28</v>
      </c>
      <c r="D40" s="285">
        <f>'повыш. коэфф.01.01.16'!H6/18</f>
        <v>0.9444444444444444</v>
      </c>
      <c r="E40" s="25">
        <v>5153</v>
      </c>
      <c r="F40" s="25">
        <v>1288.25</v>
      </c>
      <c r="G40" s="167">
        <f>E40*20%</f>
        <v>1030.6000000000001</v>
      </c>
      <c r="H40" s="284">
        <f t="shared" si="5"/>
        <v>7056.747222222222</v>
      </c>
      <c r="I40" s="37">
        <f>E40*D40*J40</f>
        <v>1216.6805555555554</v>
      </c>
      <c r="J40" s="42">
        <v>0.25</v>
      </c>
      <c r="K40" s="25"/>
      <c r="L40" s="26"/>
      <c r="M40" s="37">
        <f>E40*D40*N40</f>
        <v>2433.361111111111</v>
      </c>
      <c r="N40" s="26">
        <v>0.5</v>
      </c>
      <c r="O40" s="31">
        <f>E40*P40</f>
        <v>515.3000000000001</v>
      </c>
      <c r="P40" s="26">
        <v>0.1</v>
      </c>
      <c r="Q40" s="49">
        <f>H40+K40+M40+O40+I40</f>
        <v>11222.088888888888</v>
      </c>
      <c r="R40" s="248">
        <f>H40*S40</f>
        <v>0</v>
      </c>
      <c r="S40" s="249"/>
      <c r="T40" s="248">
        <f>(Q40+R40)*0.6</f>
        <v>6733.253333333332</v>
      </c>
      <c r="U40" s="27">
        <f>Q40+R40+T40</f>
        <v>17955.34222222222</v>
      </c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</row>
    <row r="41" spans="1:40" s="70" customFormat="1" ht="12.75">
      <c r="A41" s="53"/>
      <c r="B41" s="54"/>
      <c r="C41" s="254" t="s">
        <v>189</v>
      </c>
      <c r="D41" s="286">
        <f>'повыш. коэфф.01.01.16'!H7/18</f>
        <v>1.5</v>
      </c>
      <c r="E41" s="251">
        <v>5153</v>
      </c>
      <c r="F41" s="251">
        <v>0</v>
      </c>
      <c r="G41" s="167">
        <f>E41*20%</f>
        <v>1030.6000000000001</v>
      </c>
      <c r="H41" s="284">
        <f t="shared" si="5"/>
        <v>9275.400000000001</v>
      </c>
      <c r="I41" s="37">
        <f>E41*D41*J41</f>
        <v>1932.375</v>
      </c>
      <c r="J41" s="42">
        <v>0.25</v>
      </c>
      <c r="K41" s="251"/>
      <c r="L41" s="252"/>
      <c r="M41" s="37">
        <f>E41*D41*N41</f>
        <v>3864.75</v>
      </c>
      <c r="N41" s="252">
        <v>0.5</v>
      </c>
      <c r="O41" s="31">
        <f>E41*P41</f>
        <v>515.3000000000001</v>
      </c>
      <c r="P41" s="252">
        <v>0.1</v>
      </c>
      <c r="Q41" s="49">
        <f>H41+K41+M41+O41+I41</f>
        <v>15587.825</v>
      </c>
      <c r="R41" s="248">
        <f>H41*S41</f>
        <v>0</v>
      </c>
      <c r="S41" s="249"/>
      <c r="T41" s="248">
        <f>(Q41+R41)*0.6</f>
        <v>9352.695</v>
      </c>
      <c r="U41" s="27">
        <f>Q41+R41+T41</f>
        <v>24940.52</v>
      </c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</row>
    <row r="42" spans="1:40" ht="26.25">
      <c r="A42" s="53"/>
      <c r="B42" s="54"/>
      <c r="C42" s="45" t="s">
        <v>99</v>
      </c>
      <c r="D42" s="30">
        <f>D43+D44</f>
        <v>1.5</v>
      </c>
      <c r="E42" s="30">
        <f aca="true" t="shared" si="7" ref="E42:U42">E43+E44</f>
        <v>10306</v>
      </c>
      <c r="F42" s="30">
        <f t="shared" si="7"/>
        <v>515.3</v>
      </c>
      <c r="G42" s="30">
        <f t="shared" si="7"/>
        <v>2061.2000000000003</v>
      </c>
      <c r="H42" s="30">
        <f t="shared" si="7"/>
        <v>9790.7</v>
      </c>
      <c r="I42" s="30">
        <f t="shared" si="7"/>
        <v>1932.375</v>
      </c>
      <c r="J42" s="30">
        <f t="shared" si="7"/>
        <v>0.5</v>
      </c>
      <c r="K42" s="30">
        <f t="shared" si="7"/>
        <v>0</v>
      </c>
      <c r="L42" s="30">
        <f t="shared" si="7"/>
        <v>0</v>
      </c>
      <c r="M42" s="30">
        <f t="shared" si="7"/>
        <v>1674.725</v>
      </c>
      <c r="N42" s="30">
        <f t="shared" si="7"/>
        <v>0.5</v>
      </c>
      <c r="O42" s="30">
        <f t="shared" si="7"/>
        <v>515.3000000000001</v>
      </c>
      <c r="P42" s="30">
        <f t="shared" si="7"/>
        <v>0.1</v>
      </c>
      <c r="Q42" s="30">
        <f t="shared" si="7"/>
        <v>13913.100000000002</v>
      </c>
      <c r="R42" s="30">
        <f t="shared" si="7"/>
        <v>0</v>
      </c>
      <c r="S42" s="30">
        <f t="shared" si="7"/>
        <v>0</v>
      </c>
      <c r="T42" s="30">
        <f t="shared" si="7"/>
        <v>8347.86</v>
      </c>
      <c r="U42" s="30">
        <f t="shared" si="7"/>
        <v>22260.960000000006</v>
      </c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</row>
    <row r="43" spans="1:40" ht="12.75">
      <c r="A43" s="53"/>
      <c r="B43" s="54"/>
      <c r="C43" s="256" t="s">
        <v>185</v>
      </c>
      <c r="D43" s="285">
        <f>'повыш. коэфф.01.01.16'!G11/18+'повыш. коэфф.01.01.16'!H11/18</f>
        <v>0.5</v>
      </c>
      <c r="E43" s="25">
        <v>5153</v>
      </c>
      <c r="F43" s="25"/>
      <c r="G43" s="167">
        <f>E43*20%</f>
        <v>1030.6000000000001</v>
      </c>
      <c r="H43" s="284">
        <f t="shared" si="5"/>
        <v>3091.8</v>
      </c>
      <c r="I43" s="37">
        <f>E43*D43*J43</f>
        <v>644.125</v>
      </c>
      <c r="J43" s="42">
        <v>0.25</v>
      </c>
      <c r="K43" s="31"/>
      <c r="L43" s="33"/>
      <c r="M43" s="37">
        <f>E43*D43*N43</f>
        <v>901.775</v>
      </c>
      <c r="N43" s="26">
        <v>0.35</v>
      </c>
      <c r="O43" s="31">
        <f>E43*P43</f>
        <v>0</v>
      </c>
      <c r="P43" s="26"/>
      <c r="Q43" s="49">
        <f>H43+K43+M43+O43+I43</f>
        <v>4637.700000000001</v>
      </c>
      <c r="R43" s="248">
        <f>H43*S43</f>
        <v>0</v>
      </c>
      <c r="S43" s="34"/>
      <c r="T43" s="248">
        <f>(Q43+R43)*0.6</f>
        <v>2782.6200000000003</v>
      </c>
      <c r="U43" s="27">
        <f>Q43+R43+T43</f>
        <v>7420.3200000000015</v>
      </c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</row>
    <row r="44" spans="1:40" ht="12.75">
      <c r="A44" s="53"/>
      <c r="B44" s="54"/>
      <c r="C44" s="44" t="s">
        <v>183</v>
      </c>
      <c r="D44" s="285">
        <f>'повыш. коэфф.01.01.16'!G12/18+'повыш. коэфф.01.01.16'!H12/18</f>
        <v>1</v>
      </c>
      <c r="E44" s="25">
        <v>5153</v>
      </c>
      <c r="F44" s="25">
        <v>515.3</v>
      </c>
      <c r="G44" s="167">
        <f>E44*20%</f>
        <v>1030.6000000000001</v>
      </c>
      <c r="H44" s="284">
        <f t="shared" si="5"/>
        <v>6698.900000000001</v>
      </c>
      <c r="I44" s="37">
        <f>E44*D44*J44</f>
        <v>1288.25</v>
      </c>
      <c r="J44" s="42">
        <v>0.25</v>
      </c>
      <c r="K44" s="25"/>
      <c r="L44" s="26"/>
      <c r="M44" s="37">
        <f>E44*D44*N44</f>
        <v>772.9499999999999</v>
      </c>
      <c r="N44" s="26">
        <v>0.15</v>
      </c>
      <c r="O44" s="31">
        <f>E44*P44</f>
        <v>515.3000000000001</v>
      </c>
      <c r="P44" s="26">
        <v>0.1</v>
      </c>
      <c r="Q44" s="49">
        <f>H44+K44+M44+O44+I44</f>
        <v>9275.400000000001</v>
      </c>
      <c r="R44" s="248">
        <f>H44*S44</f>
        <v>0</v>
      </c>
      <c r="S44" s="249"/>
      <c r="T44" s="248">
        <f>(Q44+R44)*0.6</f>
        <v>5565.240000000001</v>
      </c>
      <c r="U44" s="27">
        <f>Q44+R44+T44</f>
        <v>14840.640000000003</v>
      </c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</row>
    <row r="45" spans="1:40" ht="26.25">
      <c r="A45" s="53"/>
      <c r="B45" s="54"/>
      <c r="C45" s="45" t="s">
        <v>100</v>
      </c>
      <c r="D45" s="30">
        <f>D46</f>
        <v>0.3333333333333333</v>
      </c>
      <c r="E45" s="31">
        <v>4523</v>
      </c>
      <c r="F45" s="31">
        <f aca="true" t="shared" si="8" ref="F45:U45">F46</f>
        <v>0</v>
      </c>
      <c r="G45" s="31"/>
      <c r="H45" s="31">
        <f t="shared" si="8"/>
        <v>1809.2</v>
      </c>
      <c r="I45" s="31">
        <f t="shared" si="8"/>
        <v>376.91666666666663</v>
      </c>
      <c r="J45" s="50">
        <v>0.25</v>
      </c>
      <c r="K45" s="32">
        <f t="shared" si="8"/>
        <v>0</v>
      </c>
      <c r="L45" s="33">
        <f t="shared" si="8"/>
        <v>0</v>
      </c>
      <c r="M45" s="31">
        <f t="shared" si="8"/>
        <v>376.91666666666663</v>
      </c>
      <c r="N45" s="33">
        <f t="shared" si="8"/>
        <v>0.25</v>
      </c>
      <c r="O45" s="31">
        <f t="shared" si="8"/>
        <v>452.3</v>
      </c>
      <c r="P45" s="33">
        <f t="shared" si="8"/>
        <v>0.1</v>
      </c>
      <c r="Q45" s="31">
        <f t="shared" si="8"/>
        <v>3015.3333333333335</v>
      </c>
      <c r="R45" s="31">
        <f t="shared" si="8"/>
        <v>0</v>
      </c>
      <c r="S45" s="34"/>
      <c r="T45" s="31">
        <f t="shared" si="8"/>
        <v>1809.2</v>
      </c>
      <c r="U45" s="31">
        <f t="shared" si="8"/>
        <v>4824.533333333334</v>
      </c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</row>
    <row r="46" spans="1:40" ht="12.75">
      <c r="A46" s="53"/>
      <c r="B46" s="54"/>
      <c r="C46" s="44" t="s">
        <v>286</v>
      </c>
      <c r="D46" s="285">
        <f>'повыш. коэфф.01.01.16'!H16/18</f>
        <v>0.3333333333333333</v>
      </c>
      <c r="E46" s="25">
        <v>4523</v>
      </c>
      <c r="F46" s="25">
        <v>0</v>
      </c>
      <c r="G46" s="167">
        <f>E46*20%</f>
        <v>904.6</v>
      </c>
      <c r="H46" s="284">
        <f t="shared" si="5"/>
        <v>1809.2</v>
      </c>
      <c r="I46" s="37">
        <f>E46*D46*J46</f>
        <v>376.91666666666663</v>
      </c>
      <c r="J46" s="42">
        <v>0.25</v>
      </c>
      <c r="K46" s="25"/>
      <c r="L46" s="26"/>
      <c r="M46" s="37">
        <f>E46*D46*N46</f>
        <v>376.91666666666663</v>
      </c>
      <c r="N46" s="26">
        <v>0.25</v>
      </c>
      <c r="O46" s="31">
        <f>E46*P46</f>
        <v>452.3</v>
      </c>
      <c r="P46" s="26">
        <v>0.1</v>
      </c>
      <c r="Q46" s="49">
        <f>H46+K46+M46+O46+I46</f>
        <v>3015.3333333333335</v>
      </c>
      <c r="R46" s="248">
        <f>H46*S46</f>
        <v>0</v>
      </c>
      <c r="S46" s="249"/>
      <c r="T46" s="248">
        <f>(Q46+R46)*0.6</f>
        <v>1809.2</v>
      </c>
      <c r="U46" s="27">
        <f>Q46+R46+T46</f>
        <v>4824.533333333334</v>
      </c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</row>
    <row r="47" spans="1:40" ht="12.75">
      <c r="A47" s="53"/>
      <c r="B47" s="54"/>
      <c r="C47" s="68" t="s">
        <v>101</v>
      </c>
      <c r="D47" s="30">
        <f>D48+D49</f>
        <v>0.5555555555555556</v>
      </c>
      <c r="E47" s="31">
        <v>5153</v>
      </c>
      <c r="F47" s="31">
        <f aca="true" t="shared" si="9" ref="F47:R47">F48</f>
        <v>1288.25</v>
      </c>
      <c r="G47" s="31"/>
      <c r="H47" s="31">
        <f>H48+H49</f>
        <v>4079.4583333333335</v>
      </c>
      <c r="I47" s="31">
        <f>I48+I49</f>
        <v>715.6944444444445</v>
      </c>
      <c r="J47" s="50">
        <v>0.25</v>
      </c>
      <c r="K47" s="31">
        <f t="shared" si="9"/>
        <v>0</v>
      </c>
      <c r="L47" s="33">
        <f t="shared" si="9"/>
        <v>0</v>
      </c>
      <c r="M47" s="31">
        <f>M48+M49</f>
        <v>858.8333333333333</v>
      </c>
      <c r="N47" s="33">
        <f t="shared" si="9"/>
        <v>0.3</v>
      </c>
      <c r="O47" s="31">
        <f t="shared" si="9"/>
        <v>0</v>
      </c>
      <c r="P47" s="33">
        <f t="shared" si="9"/>
        <v>0</v>
      </c>
      <c r="Q47" s="31">
        <f>Q48+Q49</f>
        <v>5653.986111111111</v>
      </c>
      <c r="R47" s="31">
        <f t="shared" si="9"/>
        <v>0</v>
      </c>
      <c r="S47" s="34"/>
      <c r="T47" s="31">
        <f>T48+T49</f>
        <v>3392.3916666666664</v>
      </c>
      <c r="U47" s="31">
        <f>U48+U49</f>
        <v>9046.377777777778</v>
      </c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</row>
    <row r="48" spans="1:40" ht="12.75">
      <c r="A48" s="53"/>
      <c r="B48" s="54"/>
      <c r="C48" s="44" t="s">
        <v>36</v>
      </c>
      <c r="D48" s="285">
        <f>'повыш. коэфф.01.01.16'!H14/18</f>
        <v>0.5</v>
      </c>
      <c r="E48" s="25">
        <v>5153</v>
      </c>
      <c r="F48" s="25">
        <v>1288.25</v>
      </c>
      <c r="G48" s="167">
        <f>E48*20%</f>
        <v>1030.6000000000001</v>
      </c>
      <c r="H48" s="284">
        <f t="shared" si="5"/>
        <v>3735.925</v>
      </c>
      <c r="I48" s="37">
        <f>E48*D48*J48</f>
        <v>644.125</v>
      </c>
      <c r="J48" s="42">
        <v>0.25</v>
      </c>
      <c r="K48" s="25"/>
      <c r="L48" s="26"/>
      <c r="M48" s="37">
        <f>E48*D48*N48</f>
        <v>772.9499999999999</v>
      </c>
      <c r="N48" s="26">
        <v>0.3</v>
      </c>
      <c r="O48" s="31">
        <f>E48*P48</f>
        <v>0</v>
      </c>
      <c r="P48" s="26">
        <v>0</v>
      </c>
      <c r="Q48" s="49">
        <f>H48+K48+M48+O48+I48</f>
        <v>5153</v>
      </c>
      <c r="R48" s="248">
        <f>H48*S48</f>
        <v>0</v>
      </c>
      <c r="S48" s="249"/>
      <c r="T48" s="248">
        <f>(Q48+R48)*0.6</f>
        <v>3091.7999999999997</v>
      </c>
      <c r="U48" s="27">
        <f>Q48+R48+T48</f>
        <v>8244.8</v>
      </c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</row>
    <row r="49" spans="1:40" ht="12.75">
      <c r="A49" s="53"/>
      <c r="B49" s="54"/>
      <c r="C49" s="44" t="s">
        <v>185</v>
      </c>
      <c r="D49" s="285">
        <f>'повыш. коэфф.01.01.16'!H15/18</f>
        <v>0.05555555555555555</v>
      </c>
      <c r="E49" s="25">
        <v>5153</v>
      </c>
      <c r="F49" s="25">
        <v>0</v>
      </c>
      <c r="G49" s="167">
        <f>E49*20%</f>
        <v>1030.6000000000001</v>
      </c>
      <c r="H49" s="284">
        <f t="shared" si="5"/>
        <v>343.53333333333336</v>
      </c>
      <c r="I49" s="37">
        <f>E49*D49*J49</f>
        <v>71.56944444444444</v>
      </c>
      <c r="J49" s="42">
        <v>0.25</v>
      </c>
      <c r="K49" s="25"/>
      <c r="L49" s="26"/>
      <c r="M49" s="37">
        <f>E49*D49*N49</f>
        <v>85.88333333333333</v>
      </c>
      <c r="N49" s="26">
        <v>0.3</v>
      </c>
      <c r="O49" s="31">
        <f>E49*P49</f>
        <v>0</v>
      </c>
      <c r="P49" s="26">
        <v>0</v>
      </c>
      <c r="Q49" s="49">
        <f>H49+K49+M49+O49+I49</f>
        <v>500.98611111111114</v>
      </c>
      <c r="R49" s="248">
        <f>H49*S49</f>
        <v>0</v>
      </c>
      <c r="S49" s="29"/>
      <c r="T49" s="248">
        <f>(Q49+R49)*0.6</f>
        <v>300.5916666666667</v>
      </c>
      <c r="U49" s="27">
        <f>Q49+R49+T49</f>
        <v>801.5777777777778</v>
      </c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</row>
    <row r="50" spans="1:40" ht="12.75">
      <c r="A50" s="53"/>
      <c r="B50" s="54"/>
      <c r="C50" s="68" t="s">
        <v>102</v>
      </c>
      <c r="D50" s="30">
        <f>D51</f>
        <v>0.5</v>
      </c>
      <c r="E50" s="30">
        <f aca="true" t="shared" si="10" ref="E50:U50">E51</f>
        <v>5153</v>
      </c>
      <c r="F50" s="30">
        <f t="shared" si="10"/>
        <v>0</v>
      </c>
      <c r="G50" s="30">
        <f t="shared" si="10"/>
        <v>1030.6000000000001</v>
      </c>
      <c r="H50" s="30">
        <f t="shared" si="10"/>
        <v>3091.8</v>
      </c>
      <c r="I50" s="30">
        <f t="shared" si="10"/>
        <v>644.125</v>
      </c>
      <c r="J50" s="30">
        <f t="shared" si="10"/>
        <v>0.25</v>
      </c>
      <c r="K50" s="30">
        <f t="shared" si="10"/>
        <v>309.18</v>
      </c>
      <c r="L50" s="30">
        <f t="shared" si="10"/>
        <v>0.12</v>
      </c>
      <c r="M50" s="30">
        <f t="shared" si="10"/>
        <v>901.775</v>
      </c>
      <c r="N50" s="30">
        <f t="shared" si="10"/>
        <v>0.35</v>
      </c>
      <c r="O50" s="30">
        <f t="shared" si="10"/>
        <v>515.3000000000001</v>
      </c>
      <c r="P50" s="30">
        <f t="shared" si="10"/>
        <v>0.1</v>
      </c>
      <c r="Q50" s="30">
        <f t="shared" si="10"/>
        <v>5462.18</v>
      </c>
      <c r="R50" s="30">
        <f t="shared" si="10"/>
        <v>0</v>
      </c>
      <c r="S50" s="30">
        <f t="shared" si="10"/>
        <v>0</v>
      </c>
      <c r="T50" s="30">
        <f t="shared" si="10"/>
        <v>3277.308</v>
      </c>
      <c r="U50" s="30">
        <f t="shared" si="10"/>
        <v>8739.488000000001</v>
      </c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88"/>
      <c r="AN50" s="88"/>
    </row>
    <row r="51" spans="1:40" ht="12.75">
      <c r="A51" s="53"/>
      <c r="B51" s="54"/>
      <c r="C51" s="44" t="s">
        <v>185</v>
      </c>
      <c r="D51" s="285">
        <f>'повыш. коэфф.01.01.16'!H21/18</f>
        <v>0.5</v>
      </c>
      <c r="E51" s="25">
        <v>5153</v>
      </c>
      <c r="F51" s="25">
        <v>0</v>
      </c>
      <c r="G51" s="167">
        <f>E51*20%</f>
        <v>1030.6000000000001</v>
      </c>
      <c r="H51" s="284">
        <f t="shared" si="5"/>
        <v>3091.8</v>
      </c>
      <c r="I51" s="37">
        <f>E51*D51*J51</f>
        <v>644.125</v>
      </c>
      <c r="J51" s="42">
        <v>0.25</v>
      </c>
      <c r="K51" s="25">
        <f>E51*D51*L51</f>
        <v>309.18</v>
      </c>
      <c r="L51" s="26">
        <v>0.12</v>
      </c>
      <c r="M51" s="37">
        <f>E51*D51*N51</f>
        <v>901.775</v>
      </c>
      <c r="N51" s="26">
        <v>0.35</v>
      </c>
      <c r="O51" s="31">
        <f>E51*P51</f>
        <v>515.3000000000001</v>
      </c>
      <c r="P51" s="26">
        <v>0.1</v>
      </c>
      <c r="Q51" s="49">
        <f>H51+K51+M51+O51+I51</f>
        <v>5462.18</v>
      </c>
      <c r="R51" s="28"/>
      <c r="S51" s="29"/>
      <c r="T51" s="248">
        <f>(Q51+R51)*0.6</f>
        <v>3277.308</v>
      </c>
      <c r="U51" s="27">
        <f>Q51+R51+T51</f>
        <v>8739.488000000001</v>
      </c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88"/>
      <c r="AK51" s="88"/>
      <c r="AL51" s="88"/>
      <c r="AM51" s="88"/>
      <c r="AN51" s="88"/>
    </row>
    <row r="52" spans="1:40" ht="12.75">
      <c r="A52" s="53"/>
      <c r="B52" s="54"/>
      <c r="C52" s="68" t="s">
        <v>103</v>
      </c>
      <c r="D52" s="30">
        <f>D53</f>
        <v>0.7361111111111112</v>
      </c>
      <c r="E52" s="31">
        <v>5153</v>
      </c>
      <c r="F52" s="31">
        <f aca="true" t="shared" si="11" ref="F52:U52">F53</f>
        <v>1288.25</v>
      </c>
      <c r="G52" s="31"/>
      <c r="H52" s="31">
        <f t="shared" si="11"/>
        <v>5500.111805555556</v>
      </c>
      <c r="I52" s="31">
        <f t="shared" si="11"/>
        <v>948.2951388888889</v>
      </c>
      <c r="J52" s="50">
        <v>0.25</v>
      </c>
      <c r="K52" s="32">
        <f t="shared" si="11"/>
        <v>0</v>
      </c>
      <c r="L52" s="33">
        <f t="shared" si="11"/>
        <v>0</v>
      </c>
      <c r="M52" s="31">
        <f t="shared" si="11"/>
        <v>1137.9541666666667</v>
      </c>
      <c r="N52" s="33">
        <f t="shared" si="11"/>
        <v>0.3</v>
      </c>
      <c r="O52" s="31">
        <f t="shared" si="11"/>
        <v>515.3000000000001</v>
      </c>
      <c r="P52" s="33">
        <f t="shared" si="11"/>
        <v>0.1</v>
      </c>
      <c r="Q52" s="31">
        <f t="shared" si="11"/>
        <v>8101.6611111111115</v>
      </c>
      <c r="R52" s="31">
        <f t="shared" si="11"/>
        <v>0</v>
      </c>
      <c r="S52" s="34"/>
      <c r="T52" s="31">
        <f t="shared" si="11"/>
        <v>4860.996666666667</v>
      </c>
      <c r="U52" s="31">
        <f t="shared" si="11"/>
        <v>12962.657777777778</v>
      </c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</row>
    <row r="53" spans="1:40" ht="12.75">
      <c r="A53" s="53"/>
      <c r="B53" s="54"/>
      <c r="C53" s="44" t="s">
        <v>36</v>
      </c>
      <c r="D53" s="285">
        <f>'повыш. коэфф.01.01.16'!H22/18</f>
        <v>0.7361111111111112</v>
      </c>
      <c r="E53" s="25">
        <v>5153</v>
      </c>
      <c r="F53" s="25">
        <v>1288.25</v>
      </c>
      <c r="G53" s="167">
        <f>E53*20%</f>
        <v>1030.6000000000001</v>
      </c>
      <c r="H53" s="284">
        <f t="shared" si="5"/>
        <v>5500.111805555556</v>
      </c>
      <c r="I53" s="37">
        <f>E53*D53*J53</f>
        <v>948.2951388888889</v>
      </c>
      <c r="J53" s="42">
        <v>0.25</v>
      </c>
      <c r="K53" s="25"/>
      <c r="L53" s="26"/>
      <c r="M53" s="37">
        <f>E53*D53*N53</f>
        <v>1137.9541666666667</v>
      </c>
      <c r="N53" s="26">
        <v>0.3</v>
      </c>
      <c r="O53" s="31">
        <f>E53*P53</f>
        <v>515.3000000000001</v>
      </c>
      <c r="P53" s="26">
        <v>0.1</v>
      </c>
      <c r="Q53" s="49">
        <f>H53+K53+M53+O53+I53</f>
        <v>8101.6611111111115</v>
      </c>
      <c r="R53" s="248">
        <f>H53*S53</f>
        <v>0</v>
      </c>
      <c r="S53" s="249"/>
      <c r="T53" s="248">
        <f>(Q53+R53)*0.6</f>
        <v>4860.996666666667</v>
      </c>
      <c r="U53" s="27">
        <f>Q53+R53+T53</f>
        <v>12962.657777777778</v>
      </c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</row>
    <row r="54" spans="1:40" ht="12.75">
      <c r="A54" s="53"/>
      <c r="B54" s="54"/>
      <c r="C54" s="68" t="s">
        <v>104</v>
      </c>
      <c r="D54" s="30">
        <f>D55+D56</f>
        <v>0.9444444444444444</v>
      </c>
      <c r="E54" s="31">
        <v>4523</v>
      </c>
      <c r="F54" s="31">
        <f>F55+F56</f>
        <v>772.95</v>
      </c>
      <c r="G54" s="31"/>
      <c r="H54" s="31">
        <f>H55+H56</f>
        <v>5805.6</v>
      </c>
      <c r="I54" s="31">
        <f>I55+I56</f>
        <v>1137.9305555555557</v>
      </c>
      <c r="J54" s="50">
        <v>0.25</v>
      </c>
      <c r="K54" s="31">
        <f>K55+K56</f>
        <v>0</v>
      </c>
      <c r="L54" s="33">
        <f>L56</f>
        <v>0</v>
      </c>
      <c r="M54" s="31">
        <f>M55+M56</f>
        <v>794.3972222222222</v>
      </c>
      <c r="N54" s="33">
        <v>0.95</v>
      </c>
      <c r="O54" s="31">
        <f>O55+O56</f>
        <v>967.6000000000001</v>
      </c>
      <c r="P54" s="33">
        <f>P56</f>
        <v>0.1</v>
      </c>
      <c r="Q54" s="31">
        <f>Q55+Q56</f>
        <v>8705.527777777777</v>
      </c>
      <c r="R54" s="31">
        <f>R55+R56</f>
        <v>0</v>
      </c>
      <c r="S54" s="34"/>
      <c r="T54" s="31">
        <f>T55+T56</f>
        <v>5223.316666666667</v>
      </c>
      <c r="U54" s="31">
        <f>U55+U56</f>
        <v>13928.844444444445</v>
      </c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</row>
    <row r="55" spans="1:40" ht="12.75">
      <c r="A55" s="53"/>
      <c r="B55" s="54"/>
      <c r="C55" s="44" t="s">
        <v>50</v>
      </c>
      <c r="D55" s="285">
        <f>'повыш. коэфф.01.01.16'!H23/18</f>
        <v>0.5</v>
      </c>
      <c r="E55" s="25">
        <v>4523</v>
      </c>
      <c r="F55" s="285"/>
      <c r="G55" s="167">
        <f>E55*20%</f>
        <v>904.6</v>
      </c>
      <c r="H55" s="284">
        <f t="shared" si="5"/>
        <v>2713.8</v>
      </c>
      <c r="I55" s="37">
        <f>E55*D55*J55</f>
        <v>565.375</v>
      </c>
      <c r="J55" s="42">
        <v>0.25</v>
      </c>
      <c r="K55" s="255"/>
      <c r="L55" s="26"/>
      <c r="M55" s="37">
        <f>E55*D55*N55</f>
        <v>565.375</v>
      </c>
      <c r="N55" s="26">
        <v>0.25</v>
      </c>
      <c r="O55" s="31">
        <f>E55*P55</f>
        <v>452.3</v>
      </c>
      <c r="P55" s="26">
        <v>0.1</v>
      </c>
      <c r="Q55" s="49">
        <f>H55+K55+M55+O55+I55</f>
        <v>4296.85</v>
      </c>
      <c r="R55" s="248">
        <f>H55*S55</f>
        <v>0</v>
      </c>
      <c r="S55" s="249"/>
      <c r="T55" s="248">
        <f>(Q55+R55)*0.6</f>
        <v>2578.11</v>
      </c>
      <c r="U55" s="27">
        <f>Q55+R55+T55</f>
        <v>6874.960000000001</v>
      </c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88"/>
      <c r="AM55" s="88"/>
      <c r="AN55" s="88"/>
    </row>
    <row r="56" spans="1:40" ht="12.75">
      <c r="A56" s="53"/>
      <c r="B56" s="54"/>
      <c r="C56" s="250" t="s">
        <v>190</v>
      </c>
      <c r="D56" s="286">
        <f>'повыш. коэфф.01.01.16'!H24/18</f>
        <v>0.4444444444444444</v>
      </c>
      <c r="E56" s="251">
        <v>5153</v>
      </c>
      <c r="F56" s="286">
        <v>772.95</v>
      </c>
      <c r="G56" s="167">
        <f>E56*20%</f>
        <v>1030.6000000000001</v>
      </c>
      <c r="H56" s="284">
        <f t="shared" si="5"/>
        <v>3091.7999999999997</v>
      </c>
      <c r="I56" s="37">
        <f>E56*D56*J56</f>
        <v>572.5555555555555</v>
      </c>
      <c r="J56" s="42">
        <v>0.25</v>
      </c>
      <c r="K56" s="25"/>
      <c r="L56" s="252"/>
      <c r="M56" s="37">
        <f>E56*D56*N56</f>
        <v>229.02222222222224</v>
      </c>
      <c r="N56" s="252">
        <v>0.1</v>
      </c>
      <c r="O56" s="31">
        <f>E56*P56</f>
        <v>515.3000000000001</v>
      </c>
      <c r="P56" s="252">
        <v>0.1</v>
      </c>
      <c r="Q56" s="49">
        <f>H56+K56+M56+O56+I56</f>
        <v>4408.677777777778</v>
      </c>
      <c r="R56" s="248">
        <f>H56*S56</f>
        <v>0</v>
      </c>
      <c r="S56" s="249"/>
      <c r="T56" s="248">
        <f>(Q56+R56)*0.6</f>
        <v>2645.2066666666665</v>
      </c>
      <c r="U56" s="27">
        <f>Q56+R56+T56</f>
        <v>7053.884444444444</v>
      </c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88"/>
      <c r="AI56" s="88"/>
      <c r="AJ56" s="88"/>
      <c r="AK56" s="88"/>
      <c r="AL56" s="88"/>
      <c r="AM56" s="88"/>
      <c r="AN56" s="88"/>
    </row>
    <row r="57" spans="1:40" ht="26.25">
      <c r="A57" s="53"/>
      <c r="B57" s="54"/>
      <c r="C57" s="45" t="s">
        <v>105</v>
      </c>
      <c r="D57" s="30">
        <f>D58+D59+D60</f>
        <v>1.833333333333333</v>
      </c>
      <c r="E57" s="31">
        <v>5153</v>
      </c>
      <c r="F57" s="31">
        <f aca="true" t="shared" si="12" ref="F57:R57">F58+F59+F60</f>
        <v>772.95</v>
      </c>
      <c r="G57" s="31"/>
      <c r="H57" s="31">
        <f>H58+H59+H60</f>
        <v>10715.075</v>
      </c>
      <c r="I57" s="31">
        <f>I58+I59+I60</f>
        <v>2151.7916666666665</v>
      </c>
      <c r="J57" s="50">
        <v>0.25</v>
      </c>
      <c r="K57" s="31">
        <f t="shared" si="12"/>
        <v>0</v>
      </c>
      <c r="L57" s="33">
        <f t="shared" si="12"/>
        <v>0</v>
      </c>
      <c r="M57" s="31">
        <f t="shared" si="12"/>
        <v>1765.3166666666666</v>
      </c>
      <c r="N57" s="33">
        <f t="shared" si="12"/>
        <v>0.6</v>
      </c>
      <c r="O57" s="31">
        <f t="shared" si="12"/>
        <v>1451.3999999999999</v>
      </c>
      <c r="P57" s="33">
        <f t="shared" si="12"/>
        <v>0.3</v>
      </c>
      <c r="Q57" s="31">
        <f>Q58+Q59+Q60</f>
        <v>16083.583333333334</v>
      </c>
      <c r="R57" s="31">
        <f t="shared" si="12"/>
        <v>0</v>
      </c>
      <c r="S57" s="34"/>
      <c r="T57" s="31">
        <f>T58+T59+T60</f>
        <v>9650.15</v>
      </c>
      <c r="U57" s="31">
        <f>U58+U59+U60</f>
        <v>25733.733333333334</v>
      </c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88"/>
      <c r="AJ57" s="88"/>
      <c r="AK57" s="88"/>
      <c r="AL57" s="88"/>
      <c r="AM57" s="88"/>
      <c r="AN57" s="88"/>
    </row>
    <row r="58" spans="1:40" ht="12.75">
      <c r="A58" s="53"/>
      <c r="B58" s="54"/>
      <c r="C58" s="253" t="s">
        <v>287</v>
      </c>
      <c r="D58" s="285">
        <f>'повыш. коэфф.01.01.16'!H27/18</f>
        <v>0.16666666666666666</v>
      </c>
      <c r="E58" s="25">
        <v>4523</v>
      </c>
      <c r="F58" s="25">
        <v>0</v>
      </c>
      <c r="G58" s="167">
        <f>E58*20%</f>
        <v>904.6</v>
      </c>
      <c r="H58" s="284">
        <f t="shared" si="5"/>
        <v>904.6</v>
      </c>
      <c r="I58" s="37">
        <f>E58*D58*J58</f>
        <v>188.45833333333331</v>
      </c>
      <c r="J58" s="42">
        <v>0.25</v>
      </c>
      <c r="K58" s="25"/>
      <c r="L58" s="26"/>
      <c r="M58" s="37">
        <f>E58*D58*N58</f>
        <v>188.45833333333331</v>
      </c>
      <c r="N58" s="26">
        <v>0.25</v>
      </c>
      <c r="O58" s="31">
        <f>E58*P58</f>
        <v>0</v>
      </c>
      <c r="P58" s="26"/>
      <c r="Q58" s="49">
        <f>H58+K58+M58+O58+I58</f>
        <v>1281.5166666666667</v>
      </c>
      <c r="R58" s="248">
        <f>H58*S58</f>
        <v>0</v>
      </c>
      <c r="S58" s="249"/>
      <c r="T58" s="248">
        <f>(Q58+R58)*0.6</f>
        <v>768.91</v>
      </c>
      <c r="U58" s="27">
        <f>Q58+R58+T58</f>
        <v>2050.4266666666667</v>
      </c>
      <c r="X58" s="88"/>
      <c r="Y58" s="88"/>
      <c r="Z58" s="88"/>
      <c r="AA58" s="88"/>
      <c r="AB58" s="88"/>
      <c r="AC58" s="88"/>
      <c r="AD58" s="88"/>
      <c r="AE58" s="88"/>
      <c r="AF58" s="88"/>
      <c r="AG58" s="88"/>
      <c r="AH58" s="88"/>
      <c r="AI58" s="88"/>
      <c r="AJ58" s="88"/>
      <c r="AK58" s="88"/>
      <c r="AL58" s="88"/>
      <c r="AM58" s="88"/>
      <c r="AN58" s="88"/>
    </row>
    <row r="59" spans="1:40" s="70" customFormat="1" ht="12.75">
      <c r="A59" s="53"/>
      <c r="B59" s="54"/>
      <c r="C59" s="254" t="s">
        <v>184</v>
      </c>
      <c r="D59" s="286">
        <f>'повыш. коэфф.01.01.16'!H25/18</f>
        <v>0.5</v>
      </c>
      <c r="E59" s="251">
        <v>5153</v>
      </c>
      <c r="F59" s="251">
        <v>772.95</v>
      </c>
      <c r="G59" s="167">
        <f>E59*20%</f>
        <v>1030.6000000000001</v>
      </c>
      <c r="H59" s="284">
        <f t="shared" si="5"/>
        <v>3478.275</v>
      </c>
      <c r="I59" s="37">
        <f>E59*D59*J59</f>
        <v>644.125</v>
      </c>
      <c r="J59" s="42">
        <v>0.25</v>
      </c>
      <c r="K59" s="251"/>
      <c r="L59" s="252"/>
      <c r="M59" s="37">
        <f>E59*D59*N59</f>
        <v>257.65000000000003</v>
      </c>
      <c r="N59" s="252">
        <v>0.1</v>
      </c>
      <c r="O59" s="31">
        <f>E59*P59</f>
        <v>772.9499999999999</v>
      </c>
      <c r="P59" s="252">
        <v>0.15</v>
      </c>
      <c r="Q59" s="49">
        <f>H59+K59+M59+O59+I59</f>
        <v>5153</v>
      </c>
      <c r="R59" s="248">
        <f>H59*S59</f>
        <v>0</v>
      </c>
      <c r="S59" s="249"/>
      <c r="T59" s="248">
        <f>(Q59+R59)*0.6</f>
        <v>3091.7999999999997</v>
      </c>
      <c r="U59" s="27">
        <f>Q59+R59+T59</f>
        <v>8244.8</v>
      </c>
      <c r="V59" s="88"/>
      <c r="W59" s="88"/>
      <c r="X59" s="88"/>
      <c r="Y59" s="88"/>
      <c r="Z59" s="88"/>
      <c r="AA59" s="88"/>
      <c r="AB59" s="88"/>
      <c r="AC59" s="88"/>
      <c r="AD59" s="88"/>
      <c r="AE59" s="88"/>
      <c r="AF59" s="88"/>
      <c r="AG59" s="88"/>
      <c r="AH59" s="88"/>
      <c r="AI59" s="88"/>
      <c r="AJ59" s="88"/>
      <c r="AK59" s="88"/>
      <c r="AL59" s="88"/>
      <c r="AM59" s="88"/>
      <c r="AN59" s="88"/>
    </row>
    <row r="60" spans="1:40" ht="12.75">
      <c r="A60" s="53"/>
      <c r="B60" s="54"/>
      <c r="C60" s="254" t="s">
        <v>191</v>
      </c>
      <c r="D60" s="286">
        <f>'повыш. коэфф.01.01.16'!G26/18+'повыш. коэфф.01.01.16'!H26/18</f>
        <v>1.1666666666666665</v>
      </c>
      <c r="E60" s="251">
        <v>4523</v>
      </c>
      <c r="F60" s="251">
        <v>0</v>
      </c>
      <c r="G60" s="167">
        <f>E60*20%</f>
        <v>904.6</v>
      </c>
      <c r="H60" s="284">
        <f t="shared" si="5"/>
        <v>6332.2</v>
      </c>
      <c r="I60" s="37">
        <f>E60*D60*J60</f>
        <v>1319.2083333333333</v>
      </c>
      <c r="J60" s="42">
        <v>0.25</v>
      </c>
      <c r="K60" s="251"/>
      <c r="L60" s="252"/>
      <c r="M60" s="37">
        <f>E60*D60*N60</f>
        <v>1319.2083333333333</v>
      </c>
      <c r="N60" s="252">
        <v>0.25</v>
      </c>
      <c r="O60" s="31">
        <f>E60*P60</f>
        <v>678.4499999999999</v>
      </c>
      <c r="P60" s="252">
        <v>0.15</v>
      </c>
      <c r="Q60" s="49">
        <f>H60+K60+M60+O60+I60</f>
        <v>9649.066666666668</v>
      </c>
      <c r="R60" s="248">
        <f>H60*S60</f>
        <v>0</v>
      </c>
      <c r="S60" s="249"/>
      <c r="T60" s="248">
        <f>(Q60+R60)*0.6</f>
        <v>5789.4400000000005</v>
      </c>
      <c r="U60" s="27">
        <f>Q60+R60+T60</f>
        <v>15438.506666666668</v>
      </c>
      <c r="X60" s="88"/>
      <c r="Y60" s="88"/>
      <c r="Z60" s="88"/>
      <c r="AA60" s="88"/>
      <c r="AB60" s="88"/>
      <c r="AC60" s="88"/>
      <c r="AD60" s="88"/>
      <c r="AE60" s="88"/>
      <c r="AF60" s="88"/>
      <c r="AG60" s="88"/>
      <c r="AH60" s="88"/>
      <c r="AI60" s="88"/>
      <c r="AJ60" s="88"/>
      <c r="AK60" s="88"/>
      <c r="AL60" s="88"/>
      <c r="AM60" s="88"/>
      <c r="AN60" s="88"/>
    </row>
    <row r="61" spans="1:40" ht="39">
      <c r="A61" s="53"/>
      <c r="B61" s="54"/>
      <c r="C61" s="45" t="s">
        <v>192</v>
      </c>
      <c r="D61" s="31">
        <f>D62</f>
        <v>1</v>
      </c>
      <c r="E61" s="31">
        <v>5153</v>
      </c>
      <c r="F61" s="30">
        <f aca="true" t="shared" si="13" ref="F61:R61">F62</f>
        <v>772.95</v>
      </c>
      <c r="G61" s="30"/>
      <c r="H61" s="30">
        <f t="shared" si="13"/>
        <v>6956.55</v>
      </c>
      <c r="I61" s="30">
        <f t="shared" si="13"/>
        <v>1288.25</v>
      </c>
      <c r="J61" s="50">
        <v>0.25</v>
      </c>
      <c r="K61" s="30">
        <f t="shared" si="13"/>
        <v>0</v>
      </c>
      <c r="L61" s="33">
        <f t="shared" si="13"/>
        <v>0</v>
      </c>
      <c r="M61" s="30">
        <f t="shared" si="13"/>
        <v>515.3000000000001</v>
      </c>
      <c r="N61" s="33">
        <f t="shared" si="13"/>
        <v>0.1</v>
      </c>
      <c r="O61" s="30">
        <f t="shared" si="13"/>
        <v>0</v>
      </c>
      <c r="P61" s="33">
        <f t="shared" si="13"/>
        <v>0</v>
      </c>
      <c r="Q61" s="30">
        <f t="shared" si="13"/>
        <v>8760.1</v>
      </c>
      <c r="R61" s="30">
        <f t="shared" si="13"/>
        <v>0</v>
      </c>
      <c r="S61" s="34"/>
      <c r="T61" s="30">
        <f>T62</f>
        <v>5256.06</v>
      </c>
      <c r="U61" s="30">
        <f>U62</f>
        <v>14016.16</v>
      </c>
      <c r="X61" s="88"/>
      <c r="Y61" s="88"/>
      <c r="Z61" s="88"/>
      <c r="AA61" s="88"/>
      <c r="AB61" s="88"/>
      <c r="AC61" s="88"/>
      <c r="AD61" s="88"/>
      <c r="AE61" s="88"/>
      <c r="AF61" s="88"/>
      <c r="AG61" s="88"/>
      <c r="AH61" s="88"/>
      <c r="AI61" s="88"/>
      <c r="AJ61" s="88"/>
      <c r="AK61" s="88"/>
      <c r="AL61" s="88"/>
      <c r="AM61" s="88"/>
      <c r="AN61" s="88"/>
    </row>
    <row r="62" spans="1:40" ht="12.75">
      <c r="A62" s="53"/>
      <c r="B62" s="54"/>
      <c r="C62" s="253" t="s">
        <v>190</v>
      </c>
      <c r="D62" s="285">
        <f>'повыш. коэфф.01.01.16'!H13/9</f>
        <v>1</v>
      </c>
      <c r="E62" s="25">
        <v>5153</v>
      </c>
      <c r="F62" s="285">
        <v>772.95</v>
      </c>
      <c r="G62" s="167">
        <f>E62*20%</f>
        <v>1030.6000000000001</v>
      </c>
      <c r="H62" s="284">
        <f t="shared" si="5"/>
        <v>6956.55</v>
      </c>
      <c r="I62" s="37">
        <f>E62*D62*J62</f>
        <v>1288.25</v>
      </c>
      <c r="J62" s="42">
        <v>0.25</v>
      </c>
      <c r="K62" s="255"/>
      <c r="L62" s="26"/>
      <c r="M62" s="37">
        <f>E62*D62*N62</f>
        <v>515.3000000000001</v>
      </c>
      <c r="N62" s="26">
        <v>0.1</v>
      </c>
      <c r="O62" s="31">
        <f>E62*P62</f>
        <v>0</v>
      </c>
      <c r="P62" s="26">
        <v>0</v>
      </c>
      <c r="Q62" s="49">
        <f>H62+K62+M62+O62+I62</f>
        <v>8760.1</v>
      </c>
      <c r="R62" s="248">
        <f>H62*S62</f>
        <v>0</v>
      </c>
      <c r="S62" s="29"/>
      <c r="T62" s="248">
        <f>(Q62+R62)*0.6</f>
        <v>5256.06</v>
      </c>
      <c r="U62" s="27">
        <f>Q62+R62+T62</f>
        <v>14016.16</v>
      </c>
      <c r="X62" s="88"/>
      <c r="Y62" s="88"/>
      <c r="Z62" s="88"/>
      <c r="AA62" s="88"/>
      <c r="AB62" s="88"/>
      <c r="AC62" s="88"/>
      <c r="AD62" s="88"/>
      <c r="AE62" s="88"/>
      <c r="AF62" s="88"/>
      <c r="AG62" s="88"/>
      <c r="AH62" s="88"/>
      <c r="AI62" s="88"/>
      <c r="AJ62" s="88"/>
      <c r="AK62" s="88"/>
      <c r="AL62" s="88"/>
      <c r="AM62" s="88"/>
      <c r="AN62" s="88"/>
    </row>
    <row r="63" spans="1:40" ht="26.25">
      <c r="A63" s="53"/>
      <c r="B63" s="54"/>
      <c r="C63" s="45" t="s">
        <v>106</v>
      </c>
      <c r="D63" s="30">
        <f>D64+D65+D66</f>
        <v>1.6805555555555556</v>
      </c>
      <c r="E63" s="30">
        <f aca="true" t="shared" si="14" ref="E63:U63">E64+E65+E66</f>
        <v>15459</v>
      </c>
      <c r="F63" s="30">
        <f t="shared" si="14"/>
        <v>772.95</v>
      </c>
      <c r="G63" s="30">
        <f t="shared" si="14"/>
        <v>3091.8</v>
      </c>
      <c r="H63" s="30">
        <f t="shared" si="14"/>
        <v>10434.824999999999</v>
      </c>
      <c r="I63" s="30">
        <f t="shared" si="14"/>
        <v>2164.9756944444443</v>
      </c>
      <c r="J63" s="30">
        <f t="shared" si="14"/>
        <v>0.75</v>
      </c>
      <c r="K63" s="30">
        <f t="shared" si="14"/>
        <v>0</v>
      </c>
      <c r="L63" s="30">
        <f t="shared" si="14"/>
        <v>0</v>
      </c>
      <c r="M63" s="30">
        <f t="shared" si="14"/>
        <v>937.5597222222223</v>
      </c>
      <c r="N63" s="30">
        <f t="shared" si="14"/>
        <v>0.5</v>
      </c>
      <c r="O63" s="30">
        <f t="shared" si="14"/>
        <v>515.3000000000001</v>
      </c>
      <c r="P63" s="30">
        <f t="shared" si="14"/>
        <v>0.1</v>
      </c>
      <c r="Q63" s="30">
        <f t="shared" si="14"/>
        <v>14052.660416666666</v>
      </c>
      <c r="R63" s="30">
        <f t="shared" si="14"/>
        <v>0</v>
      </c>
      <c r="S63" s="30">
        <f t="shared" si="14"/>
        <v>0</v>
      </c>
      <c r="T63" s="30">
        <f t="shared" si="14"/>
        <v>8431.596249999999</v>
      </c>
      <c r="U63" s="30">
        <f t="shared" si="14"/>
        <v>22484.256666666664</v>
      </c>
      <c r="X63" s="88"/>
      <c r="Y63" s="88"/>
      <c r="Z63" s="88"/>
      <c r="AA63" s="88"/>
      <c r="AB63" s="88"/>
      <c r="AC63" s="88"/>
      <c r="AD63" s="88"/>
      <c r="AE63" s="88"/>
      <c r="AF63" s="88"/>
      <c r="AG63" s="88"/>
      <c r="AH63" s="88"/>
      <c r="AI63" s="88"/>
      <c r="AJ63" s="88"/>
      <c r="AK63" s="88"/>
      <c r="AL63" s="88"/>
      <c r="AM63" s="88"/>
      <c r="AN63" s="88"/>
    </row>
    <row r="64" spans="1:40" ht="12.75">
      <c r="A64" s="53"/>
      <c r="B64" s="54"/>
      <c r="C64" s="254" t="s">
        <v>41</v>
      </c>
      <c r="D64" s="286">
        <f>'повыш. коэфф.01.01.16'!H17/18</f>
        <v>0.05555555555555555</v>
      </c>
      <c r="E64" s="251">
        <v>5153</v>
      </c>
      <c r="F64" s="251">
        <v>772.95</v>
      </c>
      <c r="G64" s="167">
        <f>E64*20%</f>
        <v>1030.6000000000001</v>
      </c>
      <c r="H64" s="284">
        <f t="shared" si="5"/>
        <v>386.47499999999997</v>
      </c>
      <c r="I64" s="37">
        <f>E64*D64*J64</f>
        <v>71.56944444444444</v>
      </c>
      <c r="J64" s="42">
        <v>0.25</v>
      </c>
      <c r="K64" s="251"/>
      <c r="L64" s="252"/>
      <c r="M64" s="37">
        <f>E64*D64*N64</f>
        <v>71.56944444444444</v>
      </c>
      <c r="N64" s="252">
        <v>0.25</v>
      </c>
      <c r="O64" s="31">
        <f>E64*P64</f>
        <v>0</v>
      </c>
      <c r="P64" s="252">
        <v>0</v>
      </c>
      <c r="Q64" s="49">
        <f>H64+K64+M64+O64+I64</f>
        <v>529.6138888888888</v>
      </c>
      <c r="R64" s="248">
        <f>H64*S64</f>
        <v>0</v>
      </c>
      <c r="S64" s="249"/>
      <c r="T64" s="248">
        <f>(Q64+R64)*0.6</f>
        <v>317.76833333333326</v>
      </c>
      <c r="U64" s="27">
        <f>Q64+R64+T64</f>
        <v>847.382222222222</v>
      </c>
      <c r="X64" s="88"/>
      <c r="Y64" s="88"/>
      <c r="Z64" s="88"/>
      <c r="AA64" s="88"/>
      <c r="AB64" s="88"/>
      <c r="AC64" s="88"/>
      <c r="AD64" s="88"/>
      <c r="AE64" s="88"/>
      <c r="AF64" s="88"/>
      <c r="AG64" s="88"/>
      <c r="AH64" s="88"/>
      <c r="AI64" s="88"/>
      <c r="AJ64" s="88"/>
      <c r="AK64" s="88"/>
      <c r="AL64" s="88"/>
      <c r="AM64" s="88"/>
      <c r="AN64" s="88"/>
    </row>
    <row r="65" spans="1:40" ht="12.75">
      <c r="A65" s="53"/>
      <c r="B65" s="54"/>
      <c r="C65" s="254" t="s">
        <v>43</v>
      </c>
      <c r="D65" s="286">
        <f>'повыш. коэфф.01.01.16'!H18/18</f>
        <v>0.1111111111111111</v>
      </c>
      <c r="E65" s="251">
        <v>5153</v>
      </c>
      <c r="F65" s="251">
        <v>0</v>
      </c>
      <c r="G65" s="167">
        <f>E65*20%</f>
        <v>1030.6000000000001</v>
      </c>
      <c r="H65" s="284">
        <f t="shared" si="5"/>
        <v>687.0666666666667</v>
      </c>
      <c r="I65" s="37">
        <f>E65*D65*J65</f>
        <v>143.13888888888889</v>
      </c>
      <c r="J65" s="42">
        <v>0.25</v>
      </c>
      <c r="K65" s="251"/>
      <c r="L65" s="252"/>
      <c r="M65" s="37">
        <f>E65*D65*N65</f>
        <v>85.88333333333333</v>
      </c>
      <c r="N65" s="252">
        <v>0.15</v>
      </c>
      <c r="O65" s="31">
        <f>E65*P65</f>
        <v>0</v>
      </c>
      <c r="P65" s="252"/>
      <c r="Q65" s="49">
        <f>H65+K65+M65+O65+I65</f>
        <v>916.088888888889</v>
      </c>
      <c r="R65" s="248">
        <f>H65*S65</f>
        <v>0</v>
      </c>
      <c r="S65" s="249"/>
      <c r="T65" s="248">
        <f>(Q65+R65)*0.6</f>
        <v>549.6533333333333</v>
      </c>
      <c r="U65" s="27">
        <f>Q65+R65+T65</f>
        <v>1465.7422222222222</v>
      </c>
      <c r="X65" s="88"/>
      <c r="Y65" s="88"/>
      <c r="Z65" s="88"/>
      <c r="AA65" s="88"/>
      <c r="AB65" s="88"/>
      <c r="AC65" s="88"/>
      <c r="AD65" s="88"/>
      <c r="AE65" s="88"/>
      <c r="AF65" s="88"/>
      <c r="AG65" s="88"/>
      <c r="AH65" s="88"/>
      <c r="AI65" s="88"/>
      <c r="AJ65" s="88"/>
      <c r="AK65" s="88"/>
      <c r="AL65" s="88"/>
      <c r="AM65" s="88"/>
      <c r="AN65" s="88"/>
    </row>
    <row r="66" spans="1:40" ht="12.75">
      <c r="A66" s="53"/>
      <c r="B66" s="54"/>
      <c r="C66" s="254" t="s">
        <v>44</v>
      </c>
      <c r="D66" s="286">
        <f>'повыш. коэфф.01.01.16'!H19/18</f>
        <v>1.5138888888888888</v>
      </c>
      <c r="E66" s="251">
        <v>5153</v>
      </c>
      <c r="F66" s="251">
        <v>0</v>
      </c>
      <c r="G66" s="167">
        <f>E66*20%</f>
        <v>1030.6000000000001</v>
      </c>
      <c r="H66" s="284">
        <f t="shared" si="5"/>
        <v>9361.283333333333</v>
      </c>
      <c r="I66" s="37">
        <f>E66*D66*J66</f>
        <v>1950.267361111111</v>
      </c>
      <c r="J66" s="42">
        <v>0.25</v>
      </c>
      <c r="K66" s="251"/>
      <c r="L66" s="252"/>
      <c r="M66" s="37">
        <f>E66*D66*N66</f>
        <v>780.1069444444445</v>
      </c>
      <c r="N66" s="252">
        <v>0.1</v>
      </c>
      <c r="O66" s="31">
        <f>E66*P66</f>
        <v>515.3000000000001</v>
      </c>
      <c r="P66" s="252">
        <v>0.1</v>
      </c>
      <c r="Q66" s="49">
        <f>H66+K66+M66+O66+I66</f>
        <v>12606.957638888887</v>
      </c>
      <c r="R66" s="248">
        <f>H66*S66</f>
        <v>0</v>
      </c>
      <c r="S66" s="249"/>
      <c r="T66" s="248">
        <f>(Q66+R66)*0.6</f>
        <v>7564.174583333332</v>
      </c>
      <c r="U66" s="27">
        <f>Q66+R66+T66</f>
        <v>20171.13222222222</v>
      </c>
      <c r="X66" s="88"/>
      <c r="Y66" s="88"/>
      <c r="Z66" s="88"/>
      <c r="AA66" s="88"/>
      <c r="AB66" s="88"/>
      <c r="AC66" s="88"/>
      <c r="AD66" s="88"/>
      <c r="AE66" s="88"/>
      <c r="AF66" s="88"/>
      <c r="AG66" s="88"/>
      <c r="AH66" s="88"/>
      <c r="AI66" s="88"/>
      <c r="AJ66" s="88"/>
      <c r="AK66" s="88"/>
      <c r="AL66" s="88"/>
      <c r="AM66" s="88"/>
      <c r="AN66" s="88"/>
    </row>
    <row r="67" spans="1:21" ht="12.75">
      <c r="A67" s="53"/>
      <c r="B67" s="54"/>
      <c r="C67" s="68" t="s">
        <v>107</v>
      </c>
      <c r="D67" s="30">
        <f>D68</f>
        <v>0.6111111111111112</v>
      </c>
      <c r="E67" s="30">
        <f aca="true" t="shared" si="15" ref="E67:U67">E68</f>
        <v>5153</v>
      </c>
      <c r="F67" s="30">
        <f t="shared" si="15"/>
        <v>0</v>
      </c>
      <c r="G67" s="30">
        <f t="shared" si="15"/>
        <v>1030.6000000000001</v>
      </c>
      <c r="H67" s="30">
        <f t="shared" si="15"/>
        <v>3778.8666666666672</v>
      </c>
      <c r="I67" s="30">
        <f t="shared" si="15"/>
        <v>787.2638888888889</v>
      </c>
      <c r="J67" s="30">
        <f t="shared" si="15"/>
        <v>0.25</v>
      </c>
      <c r="K67" s="30">
        <f t="shared" si="15"/>
        <v>0</v>
      </c>
      <c r="L67" s="30">
        <f t="shared" si="15"/>
        <v>0</v>
      </c>
      <c r="M67" s="30">
        <f t="shared" si="15"/>
        <v>1102.1694444444445</v>
      </c>
      <c r="N67" s="30">
        <f t="shared" si="15"/>
        <v>0.35</v>
      </c>
      <c r="O67" s="30">
        <f t="shared" si="15"/>
        <v>0</v>
      </c>
      <c r="P67" s="30">
        <f t="shared" si="15"/>
        <v>0</v>
      </c>
      <c r="Q67" s="30">
        <f t="shared" si="15"/>
        <v>5668.3</v>
      </c>
      <c r="R67" s="30">
        <f t="shared" si="15"/>
        <v>0</v>
      </c>
      <c r="S67" s="30">
        <f t="shared" si="15"/>
        <v>0</v>
      </c>
      <c r="T67" s="30">
        <f t="shared" si="15"/>
        <v>3400.98</v>
      </c>
      <c r="U67" s="30">
        <f t="shared" si="15"/>
        <v>9069.28</v>
      </c>
    </row>
    <row r="68" spans="1:21" ht="12.75">
      <c r="A68" s="53"/>
      <c r="B68" s="54"/>
      <c r="C68" s="44" t="s">
        <v>185</v>
      </c>
      <c r="D68" s="285">
        <f>'повыш. коэфф.01.01.16'!H20/18</f>
        <v>0.6111111111111112</v>
      </c>
      <c r="E68" s="25">
        <v>5153</v>
      </c>
      <c r="F68" s="25">
        <v>0</v>
      </c>
      <c r="G68" s="167">
        <f>E68*20%</f>
        <v>1030.6000000000001</v>
      </c>
      <c r="H68" s="284">
        <f t="shared" si="5"/>
        <v>3778.8666666666672</v>
      </c>
      <c r="I68" s="37">
        <f>E68*D68*J68</f>
        <v>787.2638888888889</v>
      </c>
      <c r="J68" s="42">
        <v>0.25</v>
      </c>
      <c r="K68" s="25"/>
      <c r="L68" s="26"/>
      <c r="M68" s="37">
        <f>E68*D68*N68</f>
        <v>1102.1694444444445</v>
      </c>
      <c r="N68" s="26">
        <v>0.35</v>
      </c>
      <c r="O68" s="31">
        <f>E68*P68</f>
        <v>0</v>
      </c>
      <c r="P68" s="26">
        <v>0</v>
      </c>
      <c r="Q68" s="49">
        <f>H68+K68+M68+O68+I68</f>
        <v>5668.3</v>
      </c>
      <c r="R68" s="248">
        <f>H68*S68</f>
        <v>0</v>
      </c>
      <c r="S68" s="249"/>
      <c r="T68" s="248">
        <f>(Q68+R68)*0.6</f>
        <v>3400.98</v>
      </c>
      <c r="U68" s="27">
        <f>Q68+R68+T68</f>
        <v>9069.28</v>
      </c>
    </row>
    <row r="69" spans="1:21" ht="39">
      <c r="A69" s="53"/>
      <c r="B69" s="54"/>
      <c r="C69" s="46" t="s">
        <v>108</v>
      </c>
      <c r="D69" s="30">
        <f>D70</f>
        <v>0.4166666666666667</v>
      </c>
      <c r="E69" s="30">
        <f aca="true" t="shared" si="16" ref="E69:U69">E70</f>
        <v>5153</v>
      </c>
      <c r="F69" s="30">
        <f t="shared" si="16"/>
        <v>772.95</v>
      </c>
      <c r="G69" s="30">
        <f t="shared" si="16"/>
        <v>1030.6000000000001</v>
      </c>
      <c r="H69" s="30">
        <f t="shared" si="16"/>
        <v>2898.5625</v>
      </c>
      <c r="I69" s="30">
        <f t="shared" si="16"/>
        <v>536.7708333333334</v>
      </c>
      <c r="J69" s="30">
        <f t="shared" si="16"/>
        <v>0.25</v>
      </c>
      <c r="K69" s="30">
        <f t="shared" si="16"/>
        <v>0</v>
      </c>
      <c r="L69" s="30">
        <f t="shared" si="16"/>
        <v>0</v>
      </c>
      <c r="M69" s="30">
        <f t="shared" si="16"/>
        <v>536.7708333333334</v>
      </c>
      <c r="N69" s="30">
        <f t="shared" si="16"/>
        <v>0.25</v>
      </c>
      <c r="O69" s="30">
        <f t="shared" si="16"/>
        <v>0</v>
      </c>
      <c r="P69" s="30">
        <f t="shared" si="16"/>
        <v>0</v>
      </c>
      <c r="Q69" s="30">
        <f t="shared" si="16"/>
        <v>3972.104166666667</v>
      </c>
      <c r="R69" s="30">
        <f t="shared" si="16"/>
        <v>0</v>
      </c>
      <c r="S69" s="30">
        <f t="shared" si="16"/>
        <v>0</v>
      </c>
      <c r="T69" s="30">
        <f t="shared" si="16"/>
        <v>2383.2625000000003</v>
      </c>
      <c r="U69" s="30">
        <f t="shared" si="16"/>
        <v>6355.366666666667</v>
      </c>
    </row>
    <row r="70" spans="1:21" ht="12.75">
      <c r="A70" s="53"/>
      <c r="B70" s="54"/>
      <c r="C70" s="253" t="s">
        <v>37</v>
      </c>
      <c r="D70" s="285">
        <f>'повыш. коэфф.01.01.16'!G28/18+'повыш. коэфф.01.01.16'!H28/18</f>
        <v>0.4166666666666667</v>
      </c>
      <c r="E70" s="25">
        <v>5153</v>
      </c>
      <c r="F70" s="285">
        <v>772.95</v>
      </c>
      <c r="G70" s="167">
        <f>E70*20%</f>
        <v>1030.6000000000001</v>
      </c>
      <c r="H70" s="284">
        <f>(E70+F70+G70)*D70</f>
        <v>2898.5625</v>
      </c>
      <c r="I70" s="37">
        <f>E70*D70*J70</f>
        <v>536.7708333333334</v>
      </c>
      <c r="J70" s="42">
        <v>0.25</v>
      </c>
      <c r="K70" s="255"/>
      <c r="L70" s="26"/>
      <c r="M70" s="37">
        <f>E70*D70*N70</f>
        <v>536.7708333333334</v>
      </c>
      <c r="N70" s="26">
        <v>0.25</v>
      </c>
      <c r="O70" s="31">
        <f>E70*P70</f>
        <v>0</v>
      </c>
      <c r="P70" s="26"/>
      <c r="Q70" s="49">
        <f>H70+K70+M70+O70+I70</f>
        <v>3972.104166666667</v>
      </c>
      <c r="R70" s="248">
        <f>H70*S70</f>
        <v>0</v>
      </c>
      <c r="S70" s="29"/>
      <c r="T70" s="248">
        <f>(Q70+R70)*0.6</f>
        <v>2383.2625000000003</v>
      </c>
      <c r="U70" s="27">
        <f>Q70+R70+T70</f>
        <v>6355.366666666667</v>
      </c>
    </row>
    <row r="71" spans="1:21" ht="26.25">
      <c r="A71" s="53"/>
      <c r="B71" s="54"/>
      <c r="C71" s="45" t="s">
        <v>109</v>
      </c>
      <c r="D71" s="30">
        <f>D72+D73+D74+D75</f>
        <v>4.666666666666667</v>
      </c>
      <c r="E71" s="31">
        <v>5153</v>
      </c>
      <c r="F71" s="31">
        <f>F72+F73+F74+F75</f>
        <v>2834.1499999999996</v>
      </c>
      <c r="G71" s="31"/>
      <c r="H71" s="31">
        <f>H72+H73+H74+H75</f>
        <v>31394.877777777783</v>
      </c>
      <c r="I71" s="31">
        <f>I72+I73+I74+I75</f>
        <v>5836.833333333334</v>
      </c>
      <c r="J71" s="50">
        <v>0.25</v>
      </c>
      <c r="K71" s="31">
        <f>K72+K73+K74+K75</f>
        <v>0</v>
      </c>
      <c r="L71" s="33">
        <f>L72+L73+L74</f>
        <v>0</v>
      </c>
      <c r="M71" s="31">
        <f>M72+M73+M74+M75</f>
        <v>10506.3</v>
      </c>
      <c r="N71" s="33">
        <f>N72+N73+N74+N75</f>
        <v>1.8</v>
      </c>
      <c r="O71" s="31">
        <f>O72+O73+O74+O75</f>
        <v>1998.2000000000003</v>
      </c>
      <c r="P71" s="33">
        <f>P72+P73+P74</f>
        <v>0.30000000000000004</v>
      </c>
      <c r="Q71" s="31">
        <f>Q72+Q73+Q74+Q75</f>
        <v>49736.21111111111</v>
      </c>
      <c r="R71" s="31">
        <f>R72+R73+R74+R75</f>
        <v>0</v>
      </c>
      <c r="S71" s="34"/>
      <c r="T71" s="31">
        <f>T72+T73+T74+T75</f>
        <v>29841.72666666667</v>
      </c>
      <c r="U71" s="31">
        <f>U72+U73+U74+U75</f>
        <v>79577.93777777777</v>
      </c>
    </row>
    <row r="72" spans="1:21" ht="12.75">
      <c r="A72" s="53"/>
      <c r="B72" s="54"/>
      <c r="C72" s="44" t="s">
        <v>52</v>
      </c>
      <c r="D72" s="285">
        <f>'повыш. коэфф.01.01.16'!G31/18</f>
        <v>1.1111111111111112</v>
      </c>
      <c r="E72" s="25">
        <v>5153</v>
      </c>
      <c r="F72" s="25">
        <v>772.95</v>
      </c>
      <c r="G72" s="167">
        <f>E72*20%</f>
        <v>1030.6000000000001</v>
      </c>
      <c r="H72" s="284">
        <f>(E72+F72+G72)*D72</f>
        <v>7729.500000000001</v>
      </c>
      <c r="I72" s="37">
        <f>E72*D72*J72</f>
        <v>1431.388888888889</v>
      </c>
      <c r="J72" s="42">
        <v>0.25</v>
      </c>
      <c r="K72" s="25"/>
      <c r="L72" s="26"/>
      <c r="M72" s="37">
        <f>E72*D72*N72</f>
        <v>2576.5</v>
      </c>
      <c r="N72" s="26">
        <v>0.45</v>
      </c>
      <c r="O72" s="31">
        <f>E72*P72</f>
        <v>515.3000000000001</v>
      </c>
      <c r="P72" s="26">
        <v>0.1</v>
      </c>
      <c r="Q72" s="49">
        <f>H72+K72+M72+O72+I72</f>
        <v>12252.688888888888</v>
      </c>
      <c r="R72" s="248">
        <f>H72*S72</f>
        <v>0</v>
      </c>
      <c r="S72" s="249"/>
      <c r="T72" s="248">
        <f>(Q72+R72)*0.6</f>
        <v>7351.613333333333</v>
      </c>
      <c r="U72" s="27">
        <f>Q72+R72+T72</f>
        <v>19604.30222222222</v>
      </c>
    </row>
    <row r="73" spans="1:21" ht="12.75">
      <c r="A73" s="53"/>
      <c r="B73" s="54"/>
      <c r="C73" s="250" t="s">
        <v>193</v>
      </c>
      <c r="D73" s="286">
        <f>'повыш. коэфф.01.01.16'!G32/18</f>
        <v>1.1111111111111112</v>
      </c>
      <c r="E73" s="251">
        <v>4523</v>
      </c>
      <c r="F73" s="251">
        <v>0</v>
      </c>
      <c r="G73" s="167">
        <f>E73*20%</f>
        <v>904.6</v>
      </c>
      <c r="H73" s="284">
        <f>(E73+F73+G73)*D73</f>
        <v>6030.666666666667</v>
      </c>
      <c r="I73" s="37">
        <f>E73*D73*J73</f>
        <v>1256.388888888889</v>
      </c>
      <c r="J73" s="42">
        <v>0.25</v>
      </c>
      <c r="K73" s="251"/>
      <c r="L73" s="252"/>
      <c r="M73" s="37">
        <f>E73*D73*N73</f>
        <v>2261.5</v>
      </c>
      <c r="N73" s="252">
        <v>0.45</v>
      </c>
      <c r="O73" s="31">
        <f>E73*P73</f>
        <v>452.3</v>
      </c>
      <c r="P73" s="252">
        <v>0.1</v>
      </c>
      <c r="Q73" s="49">
        <f>H73+K73+M73+O73+I73</f>
        <v>10000.855555555556</v>
      </c>
      <c r="R73" s="248">
        <f>H73*S73</f>
        <v>0</v>
      </c>
      <c r="S73" s="249"/>
      <c r="T73" s="248">
        <f>(Q73+R73)*0.6</f>
        <v>6000.513333333333</v>
      </c>
      <c r="U73" s="27">
        <f>Q73+R73+T73</f>
        <v>16001.36888888889</v>
      </c>
    </row>
    <row r="74" spans="1:21" ht="12.75">
      <c r="A74" s="53"/>
      <c r="B74" s="54"/>
      <c r="C74" s="250" t="s">
        <v>55</v>
      </c>
      <c r="D74" s="286">
        <f>'повыш. коэфф.01.01.16'!G33/18+'повыш. коэфф.01.01.16'!H33/18</f>
        <v>1.2222222222222223</v>
      </c>
      <c r="E74" s="251">
        <v>5153</v>
      </c>
      <c r="F74" s="251">
        <v>1288.25</v>
      </c>
      <c r="G74" s="167">
        <f>E74*20%</f>
        <v>1030.6000000000001</v>
      </c>
      <c r="H74" s="284">
        <f>(E74+F74+G74)*D74</f>
        <v>9132.261111111113</v>
      </c>
      <c r="I74" s="37">
        <f>E74*D74*J74</f>
        <v>1574.5277777777778</v>
      </c>
      <c r="J74" s="42">
        <v>0.25</v>
      </c>
      <c r="K74" s="251"/>
      <c r="L74" s="252"/>
      <c r="M74" s="37">
        <f>E74*D74*N74</f>
        <v>2834.15</v>
      </c>
      <c r="N74" s="252">
        <v>0.45</v>
      </c>
      <c r="O74" s="31">
        <f>E74*P74</f>
        <v>515.3000000000001</v>
      </c>
      <c r="P74" s="252">
        <v>0.1</v>
      </c>
      <c r="Q74" s="49">
        <f>H74+K74+M74+O74+I74</f>
        <v>14056.238888888889</v>
      </c>
      <c r="R74" s="248">
        <f>H74*S74</f>
        <v>0</v>
      </c>
      <c r="S74" s="249"/>
      <c r="T74" s="248">
        <f>(Q74+R74)*0.6</f>
        <v>8433.743333333334</v>
      </c>
      <c r="U74" s="27">
        <f>Q74+R74+T74</f>
        <v>22489.98222222222</v>
      </c>
    </row>
    <row r="75" spans="1:21" ht="12.75">
      <c r="A75" s="53"/>
      <c r="B75" s="54"/>
      <c r="C75" s="250" t="s">
        <v>51</v>
      </c>
      <c r="D75" s="286">
        <f>'повыш. коэфф.01.01.16'!G34/18</f>
        <v>1.2222222222222223</v>
      </c>
      <c r="E75" s="251">
        <v>5153</v>
      </c>
      <c r="F75" s="251">
        <v>772.95</v>
      </c>
      <c r="G75" s="167">
        <f>E75*20%</f>
        <v>1030.6000000000001</v>
      </c>
      <c r="H75" s="284">
        <f>(E75+F75+G75)*D75</f>
        <v>8502.45</v>
      </c>
      <c r="I75" s="37">
        <f>E75*D75*J75</f>
        <v>1574.5277777777778</v>
      </c>
      <c r="J75" s="42">
        <v>0.25</v>
      </c>
      <c r="K75" s="251"/>
      <c r="L75" s="252"/>
      <c r="M75" s="37">
        <f>E75*D75*N75</f>
        <v>2834.15</v>
      </c>
      <c r="N75" s="252">
        <v>0.45</v>
      </c>
      <c r="O75" s="31">
        <f>E75*P75</f>
        <v>515.3000000000001</v>
      </c>
      <c r="P75" s="252">
        <v>0.1</v>
      </c>
      <c r="Q75" s="49">
        <f>H75+K75+M75+O75+I75</f>
        <v>13426.427777777777</v>
      </c>
      <c r="R75" s="248">
        <f>H75*S75</f>
        <v>0</v>
      </c>
      <c r="S75" s="249"/>
      <c r="T75" s="248">
        <f>(Q75+R75)*0.6</f>
        <v>8055.856666666666</v>
      </c>
      <c r="U75" s="27">
        <f>Q75+R75+T75</f>
        <v>21482.28444444444</v>
      </c>
    </row>
    <row r="76" spans="1:21" ht="12.75">
      <c r="A76" s="53"/>
      <c r="B76" s="54"/>
      <c r="C76" s="68" t="s">
        <v>110</v>
      </c>
      <c r="D76" s="30">
        <f>D77</f>
        <v>0.2222222222222222</v>
      </c>
      <c r="E76" s="31">
        <v>4523</v>
      </c>
      <c r="F76" s="30">
        <f aca="true" t="shared" si="17" ref="F76:U76">F77</f>
        <v>0</v>
      </c>
      <c r="G76" s="30"/>
      <c r="H76" s="30">
        <f t="shared" si="17"/>
        <v>1206.1333333333334</v>
      </c>
      <c r="I76" s="30">
        <f t="shared" si="17"/>
        <v>251.27777777777777</v>
      </c>
      <c r="J76" s="50">
        <v>0.25</v>
      </c>
      <c r="K76" s="32">
        <f t="shared" si="17"/>
        <v>0</v>
      </c>
      <c r="L76" s="33">
        <f t="shared" si="17"/>
        <v>0</v>
      </c>
      <c r="M76" s="31">
        <f t="shared" si="17"/>
        <v>50.25555555555556</v>
      </c>
      <c r="N76" s="33">
        <f t="shared" si="17"/>
        <v>0.05</v>
      </c>
      <c r="O76" s="31">
        <f t="shared" si="17"/>
        <v>452.3</v>
      </c>
      <c r="P76" s="33">
        <f t="shared" si="17"/>
        <v>0.1</v>
      </c>
      <c r="Q76" s="31">
        <f t="shared" si="17"/>
        <v>1959.9666666666667</v>
      </c>
      <c r="R76" s="31">
        <f t="shared" si="17"/>
        <v>0</v>
      </c>
      <c r="S76" s="34"/>
      <c r="T76" s="31">
        <f t="shared" si="17"/>
        <v>1175.98</v>
      </c>
      <c r="U76" s="31">
        <f t="shared" si="17"/>
        <v>3135.9466666666667</v>
      </c>
    </row>
    <row r="77" spans="1:21" ht="12.75">
      <c r="A77" s="53"/>
      <c r="B77" s="54"/>
      <c r="C77" s="44" t="s">
        <v>212</v>
      </c>
      <c r="D77" s="285">
        <f>'повыш. коэфф.01.01.16'!G29/18+'повыш. коэфф.01.01.16'!H29/18</f>
        <v>0.2222222222222222</v>
      </c>
      <c r="E77" s="25">
        <v>4523</v>
      </c>
      <c r="F77" s="25"/>
      <c r="G77" s="167">
        <f>E77*20%</f>
        <v>904.6</v>
      </c>
      <c r="H77" s="284">
        <f>(E77+F77+G77)*D77</f>
        <v>1206.1333333333334</v>
      </c>
      <c r="I77" s="37">
        <f>E77*D77*J77</f>
        <v>251.27777777777777</v>
      </c>
      <c r="J77" s="42">
        <v>0.25</v>
      </c>
      <c r="K77" s="25"/>
      <c r="L77" s="26"/>
      <c r="M77" s="37">
        <f>E77*D77*N77</f>
        <v>50.25555555555556</v>
      </c>
      <c r="N77" s="26">
        <v>0.05</v>
      </c>
      <c r="O77" s="31">
        <f>E77*P77</f>
        <v>452.3</v>
      </c>
      <c r="P77" s="26">
        <v>0.1</v>
      </c>
      <c r="Q77" s="49">
        <f>H77+K77+M77+O77+I77</f>
        <v>1959.9666666666667</v>
      </c>
      <c r="R77" s="248">
        <f>H77*S77</f>
        <v>0</v>
      </c>
      <c r="S77" s="249"/>
      <c r="T77" s="248">
        <f>(Q77+R77)*0.6</f>
        <v>1175.98</v>
      </c>
      <c r="U77" s="27">
        <f>Q77+R77+T77</f>
        <v>3135.9466666666667</v>
      </c>
    </row>
    <row r="78" spans="1:21" ht="12.75">
      <c r="A78" s="53"/>
      <c r="B78" s="54"/>
      <c r="C78" s="68" t="s">
        <v>111</v>
      </c>
      <c r="D78" s="30">
        <f>D79</f>
        <v>0.05555555555555555</v>
      </c>
      <c r="E78" s="31">
        <v>4523</v>
      </c>
      <c r="F78" s="30">
        <f aca="true" t="shared" si="18" ref="F78:U78">F79</f>
        <v>0</v>
      </c>
      <c r="G78" s="30"/>
      <c r="H78" s="30">
        <f t="shared" si="18"/>
        <v>301.53333333333336</v>
      </c>
      <c r="I78" s="30">
        <f t="shared" si="18"/>
        <v>62.81944444444444</v>
      </c>
      <c r="J78" s="50">
        <v>0.25</v>
      </c>
      <c r="K78" s="30">
        <f t="shared" si="18"/>
        <v>0</v>
      </c>
      <c r="L78" s="33">
        <f t="shared" si="18"/>
        <v>0</v>
      </c>
      <c r="M78" s="31">
        <f t="shared" si="18"/>
        <v>62.81944444444444</v>
      </c>
      <c r="N78" s="33">
        <f t="shared" si="18"/>
        <v>0.25</v>
      </c>
      <c r="O78" s="31">
        <f t="shared" si="18"/>
        <v>0</v>
      </c>
      <c r="P78" s="33">
        <f t="shared" si="18"/>
        <v>0</v>
      </c>
      <c r="Q78" s="31">
        <f t="shared" si="18"/>
        <v>427.1722222222223</v>
      </c>
      <c r="R78" s="31">
        <f t="shared" si="18"/>
        <v>0</v>
      </c>
      <c r="S78" s="34"/>
      <c r="T78" s="31">
        <f t="shared" si="18"/>
        <v>256.30333333333334</v>
      </c>
      <c r="U78" s="31">
        <f t="shared" si="18"/>
        <v>683.4755555555556</v>
      </c>
    </row>
    <row r="79" spans="1:21" ht="12.75">
      <c r="A79" s="53"/>
      <c r="B79" s="54"/>
      <c r="C79" s="44" t="s">
        <v>50</v>
      </c>
      <c r="D79" s="285">
        <f>'повыш. коэфф.01.01.16'!H30/18</f>
        <v>0.05555555555555555</v>
      </c>
      <c r="E79" s="25">
        <v>4523</v>
      </c>
      <c r="F79" s="25"/>
      <c r="G79" s="167">
        <f>E79*20%</f>
        <v>904.6</v>
      </c>
      <c r="H79" s="284">
        <f>(E79+F79+G79)*D79</f>
        <v>301.53333333333336</v>
      </c>
      <c r="I79" s="37">
        <f>E79*D79*J79</f>
        <v>62.81944444444444</v>
      </c>
      <c r="J79" s="42">
        <v>0.25</v>
      </c>
      <c r="K79" s="25">
        <f>H79*L79</f>
        <v>0</v>
      </c>
      <c r="L79" s="26"/>
      <c r="M79" s="37">
        <f>E79*D79*N79</f>
        <v>62.81944444444444</v>
      </c>
      <c r="N79" s="26">
        <v>0.25</v>
      </c>
      <c r="O79" s="31">
        <f>E79*P79</f>
        <v>0</v>
      </c>
      <c r="P79" s="26">
        <v>0</v>
      </c>
      <c r="Q79" s="49">
        <f>H79+K79+M79+O79+I79</f>
        <v>427.1722222222223</v>
      </c>
      <c r="R79" s="248">
        <f>H79*S79</f>
        <v>0</v>
      </c>
      <c r="S79" s="249"/>
      <c r="T79" s="248">
        <f>(Q79+R79)*0.6</f>
        <v>256.30333333333334</v>
      </c>
      <c r="U79" s="27">
        <f>Q79+R79+T79</f>
        <v>683.4755555555556</v>
      </c>
    </row>
    <row r="80" spans="1:21" ht="12.75">
      <c r="A80" s="53"/>
      <c r="B80" s="54"/>
      <c r="C80" s="45" t="s">
        <v>175</v>
      </c>
      <c r="D80" s="32">
        <v>1</v>
      </c>
      <c r="E80" s="36">
        <v>5361</v>
      </c>
      <c r="F80" s="36"/>
      <c r="G80" s="36"/>
      <c r="H80" s="37">
        <f>H81</f>
        <v>6433.2</v>
      </c>
      <c r="I80" s="37">
        <f>I81</f>
        <v>1340.25</v>
      </c>
      <c r="J80" s="42">
        <v>0.25</v>
      </c>
      <c r="K80" s="25">
        <f>H80*L80</f>
        <v>0</v>
      </c>
      <c r="L80" s="39"/>
      <c r="M80" s="37">
        <f>M81</f>
        <v>1340.25</v>
      </c>
      <c r="N80" s="24"/>
      <c r="O80" s="31">
        <f>E80*P80</f>
        <v>0</v>
      </c>
      <c r="P80" s="24"/>
      <c r="Q80" s="41">
        <v>8041.5</v>
      </c>
      <c r="R80" s="37"/>
      <c r="S80" s="42"/>
      <c r="T80" s="43">
        <f>(Q80+R80)*0.6</f>
        <v>4824.9</v>
      </c>
      <c r="U80" s="41">
        <f>Q80+R80+T80</f>
        <v>12866.4</v>
      </c>
    </row>
    <row r="81" spans="1:21" ht="12.75">
      <c r="A81" s="53"/>
      <c r="B81" s="54"/>
      <c r="C81" s="256" t="s">
        <v>287</v>
      </c>
      <c r="D81" s="35">
        <v>1</v>
      </c>
      <c r="E81" s="36">
        <v>5361</v>
      </c>
      <c r="F81" s="36">
        <v>0</v>
      </c>
      <c r="G81" s="167">
        <f>E81*20%</f>
        <v>1072.2</v>
      </c>
      <c r="H81" s="284">
        <f>(E81+F81+G81)*D81</f>
        <v>6433.2</v>
      </c>
      <c r="I81" s="37">
        <f>E81*D81*J81</f>
        <v>1340.25</v>
      </c>
      <c r="J81" s="42">
        <v>0.25</v>
      </c>
      <c r="K81" s="25">
        <f>H81*L81</f>
        <v>0</v>
      </c>
      <c r="L81" s="39"/>
      <c r="M81" s="37">
        <f>E81*D81*N81</f>
        <v>1340.25</v>
      </c>
      <c r="N81" s="24">
        <v>0.25</v>
      </c>
      <c r="O81" s="31">
        <f>E81*P81</f>
        <v>0</v>
      </c>
      <c r="P81" s="24">
        <v>0</v>
      </c>
      <c r="Q81" s="49">
        <f>H81+K81+M81+O81+I81</f>
        <v>9113.7</v>
      </c>
      <c r="R81" s="37"/>
      <c r="S81" s="42"/>
      <c r="T81" s="43">
        <f>(Q81+R81)*0.6</f>
        <v>5468.22</v>
      </c>
      <c r="U81" s="41">
        <f>Q81+R81+T81</f>
        <v>14581.920000000002</v>
      </c>
    </row>
    <row r="82" spans="1:25" ht="12.75">
      <c r="A82" s="53"/>
      <c r="B82" s="54"/>
      <c r="C82" s="256" t="s">
        <v>196</v>
      </c>
      <c r="D82" s="35">
        <v>1</v>
      </c>
      <c r="E82" s="36">
        <v>4298</v>
      </c>
      <c r="F82" s="36">
        <v>644.7</v>
      </c>
      <c r="G82" s="167">
        <f>E82*20%</f>
        <v>859.6</v>
      </c>
      <c r="H82" s="284">
        <f>(E82+F82+G82)*D82</f>
        <v>5802.3</v>
      </c>
      <c r="I82" s="37">
        <f>E82*D82*J82</f>
        <v>1074.5</v>
      </c>
      <c r="J82" s="42">
        <v>0.25</v>
      </c>
      <c r="K82" s="25">
        <f>H82*L82</f>
        <v>0</v>
      </c>
      <c r="L82" s="39"/>
      <c r="M82" s="37">
        <f>E82*D82*N82</f>
        <v>1074.5</v>
      </c>
      <c r="N82" s="24">
        <v>0.25</v>
      </c>
      <c r="O82" s="31">
        <f>E82*P82</f>
        <v>0</v>
      </c>
      <c r="P82" s="24"/>
      <c r="Q82" s="49">
        <f>H82+K82+M82+O82+I82</f>
        <v>7951.3</v>
      </c>
      <c r="R82" s="37"/>
      <c r="S82" s="42"/>
      <c r="T82" s="43">
        <f>(Q82+R82)*0.6</f>
        <v>4770.78</v>
      </c>
      <c r="U82" s="41">
        <f>Q82+R82+T82</f>
        <v>12722.08</v>
      </c>
      <c r="X82" s="263"/>
      <c r="Y82" s="263"/>
    </row>
    <row r="83" spans="1:25" ht="12.75">
      <c r="A83" s="53"/>
      <c r="B83" s="54"/>
      <c r="C83" s="256" t="s">
        <v>273</v>
      </c>
      <c r="D83" s="287">
        <f>'повыш. коэфф.01.01.16'!H53/18</f>
        <v>0.5555555555555556</v>
      </c>
      <c r="E83" s="36">
        <v>5153</v>
      </c>
      <c r="F83" s="36">
        <v>515.3</v>
      </c>
      <c r="G83" s="167">
        <f>E83*20%</f>
        <v>1030.6000000000001</v>
      </c>
      <c r="H83" s="284">
        <f>(E83+F83+G83)*D83</f>
        <v>3721.6111111111118</v>
      </c>
      <c r="I83" s="37">
        <f>E83*D83*J83</f>
        <v>715.6944444444445</v>
      </c>
      <c r="J83" s="42">
        <v>0.25</v>
      </c>
      <c r="K83" s="25">
        <f>H83*L83</f>
        <v>744.3222222222224</v>
      </c>
      <c r="L83" s="39">
        <v>0.2</v>
      </c>
      <c r="M83" s="37">
        <f>E83*D83*N83</f>
        <v>715.6944444444445</v>
      </c>
      <c r="N83" s="24">
        <v>0.25</v>
      </c>
      <c r="O83" s="31">
        <f>E83*P83</f>
        <v>0</v>
      </c>
      <c r="P83" s="24"/>
      <c r="Q83" s="49">
        <f>H83+K83+M83+O83+I83</f>
        <v>5897.322222222223</v>
      </c>
      <c r="R83" s="37"/>
      <c r="S83" s="42"/>
      <c r="T83" s="43">
        <f>(Q83+R83)*0.6</f>
        <v>3538.393333333334</v>
      </c>
      <c r="U83" s="41">
        <f>Q83+R83+T83</f>
        <v>9435.715555555556</v>
      </c>
      <c r="X83" s="263"/>
      <c r="Y83" s="263"/>
    </row>
    <row r="84" spans="1:25" ht="12.75">
      <c r="A84" s="53"/>
      <c r="B84" s="54"/>
      <c r="C84" s="106" t="s">
        <v>15</v>
      </c>
      <c r="D84" s="107">
        <f>D23+D24+D27+D29+D31+D32+D33+D35+D39+D42+D45+D47+D50+D52+D54+D57+D61+D63+D67+D69+D71+D76+D78+D80+D81+D82+D83+D25+D26</f>
        <v>30.83333333333334</v>
      </c>
      <c r="E84" s="107">
        <f aca="true" t="shared" si="19" ref="E84:U84">E23+E24+E27+E29+E31+E32+E33+E35+E39+E42+E45+E47+E50+E52+E54+E57+E61+E63+E67+E69+E71+E76+E78+E80+E81+E82+E83+E25+E26</f>
        <v>157717</v>
      </c>
      <c r="F84" s="107">
        <f t="shared" si="19"/>
        <v>14233.250000000002</v>
      </c>
      <c r="G84" s="107">
        <f t="shared" si="19"/>
        <v>17097.600000000002</v>
      </c>
      <c r="H84" s="107">
        <f t="shared" si="19"/>
        <v>184552.8409722222</v>
      </c>
      <c r="I84" s="107">
        <f t="shared" si="19"/>
        <v>37050.679166666676</v>
      </c>
      <c r="J84" s="107"/>
      <c r="K84" s="107">
        <f t="shared" si="19"/>
        <v>3952.192222222223</v>
      </c>
      <c r="L84" s="107"/>
      <c r="M84" s="107">
        <f t="shared" si="19"/>
        <v>42996.83611111111</v>
      </c>
      <c r="N84" s="107"/>
      <c r="O84" s="107">
        <f t="shared" si="19"/>
        <v>9444.2</v>
      </c>
      <c r="P84" s="107"/>
      <c r="Q84" s="107">
        <f t="shared" si="19"/>
        <v>278280.1484722222</v>
      </c>
      <c r="R84" s="107">
        <f t="shared" si="19"/>
        <v>0</v>
      </c>
      <c r="S84" s="107">
        <f t="shared" si="19"/>
        <v>0</v>
      </c>
      <c r="T84" s="107">
        <f t="shared" si="19"/>
        <v>166968.08908333335</v>
      </c>
      <c r="U84" s="107">
        <f t="shared" si="19"/>
        <v>445248.23755555553</v>
      </c>
      <c r="X84" s="264"/>
      <c r="Y84" s="263"/>
    </row>
    <row r="85" spans="1:25" ht="12.75">
      <c r="A85" s="53"/>
      <c r="B85" s="54"/>
      <c r="C85" s="517" t="s">
        <v>112</v>
      </c>
      <c r="D85" s="517"/>
      <c r="E85" s="517"/>
      <c r="F85" s="517"/>
      <c r="G85" s="517"/>
      <c r="H85" s="517"/>
      <c r="I85" s="517"/>
      <c r="J85" s="517"/>
      <c r="K85" s="517"/>
      <c r="L85" s="517"/>
      <c r="M85" s="517"/>
      <c r="N85" s="517"/>
      <c r="O85" s="517"/>
      <c r="P85" s="517"/>
      <c r="Q85" s="517"/>
      <c r="R85" s="517"/>
      <c r="S85" s="517"/>
      <c r="T85" s="517"/>
      <c r="U85" s="288">
        <v>625870</v>
      </c>
      <c r="X85" s="264"/>
      <c r="Y85" s="263"/>
    </row>
    <row r="86" spans="1:25" ht="12.75">
      <c r="A86" s="53"/>
      <c r="B86" s="164"/>
      <c r="C86" s="165" t="s">
        <v>203</v>
      </c>
      <c r="D86" s="166"/>
      <c r="E86" s="166"/>
      <c r="F86" s="166"/>
      <c r="G86" s="166"/>
      <c r="H86" s="166"/>
      <c r="I86" s="166"/>
      <c r="J86" s="166"/>
      <c r="K86" s="166"/>
      <c r="L86" s="166"/>
      <c r="M86" s="166"/>
      <c r="N86" s="166"/>
      <c r="O86" s="166"/>
      <c r="P86" s="166"/>
      <c r="Q86" s="166"/>
      <c r="R86" s="166"/>
      <c r="S86" s="166"/>
      <c r="T86" s="166"/>
      <c r="U86" s="172">
        <f>U85-U84-U87</f>
        <v>149690.56244444445</v>
      </c>
      <c r="X86" s="265"/>
      <c r="Y86" s="263"/>
    </row>
    <row r="87" spans="1:25" ht="12.75">
      <c r="A87" s="53"/>
      <c r="B87" s="164"/>
      <c r="C87" s="165" t="s">
        <v>204</v>
      </c>
      <c r="D87" s="166"/>
      <c r="E87" s="166"/>
      <c r="F87" s="166"/>
      <c r="G87" s="166"/>
      <c r="H87" s="166"/>
      <c r="I87" s="166"/>
      <c r="J87" s="166"/>
      <c r="K87" s="166"/>
      <c r="L87" s="166"/>
      <c r="M87" s="166"/>
      <c r="N87" s="166"/>
      <c r="O87" s="166"/>
      <c r="P87" s="166"/>
      <c r="Q87" s="166"/>
      <c r="R87" s="166"/>
      <c r="S87" s="166"/>
      <c r="T87" s="166"/>
      <c r="U87" s="173">
        <v>30931.2</v>
      </c>
      <c r="X87" s="264"/>
      <c r="Y87" s="263"/>
    </row>
    <row r="88" spans="1:25" ht="12.75">
      <c r="A88" s="53"/>
      <c r="B88" s="54"/>
      <c r="C88" s="109" t="s">
        <v>116</v>
      </c>
      <c r="D88" s="63">
        <f>D84</f>
        <v>30.83333333333334</v>
      </c>
      <c r="E88" s="63"/>
      <c r="F88" s="63">
        <f>F84</f>
        <v>14233.250000000002</v>
      </c>
      <c r="G88" s="63"/>
      <c r="H88" s="63">
        <f>H84</f>
        <v>184552.8409722222</v>
      </c>
      <c r="I88" s="63">
        <f>I84</f>
        <v>37050.679166666676</v>
      </c>
      <c r="J88" s="63"/>
      <c r="K88" s="63">
        <f>K84</f>
        <v>3952.192222222223</v>
      </c>
      <c r="L88" s="63"/>
      <c r="M88" s="63">
        <f>M84</f>
        <v>42996.83611111111</v>
      </c>
      <c r="N88" s="63"/>
      <c r="O88" s="63">
        <f>O84</f>
        <v>9444.2</v>
      </c>
      <c r="P88" s="63"/>
      <c r="Q88" s="63">
        <f>Q84</f>
        <v>278280.1484722222</v>
      </c>
      <c r="R88" s="63">
        <f>R84</f>
        <v>0</v>
      </c>
      <c r="S88" s="63"/>
      <c r="T88" s="63">
        <f>T84</f>
        <v>166968.08908333335</v>
      </c>
      <c r="U88" s="171">
        <f>U84</f>
        <v>445248.23755555553</v>
      </c>
      <c r="X88" s="264"/>
      <c r="Y88" s="263"/>
    </row>
    <row r="89" spans="1:25" ht="26.25">
      <c r="A89" s="53"/>
      <c r="B89" s="54"/>
      <c r="C89" s="110" t="s">
        <v>117</v>
      </c>
      <c r="D89" s="518" t="s">
        <v>118</v>
      </c>
      <c r="E89" s="518"/>
      <c r="F89" s="518"/>
      <c r="G89" s="518"/>
      <c r="H89" s="518"/>
      <c r="I89" s="518"/>
      <c r="J89" s="518"/>
      <c r="K89" s="518"/>
      <c r="L89" s="518"/>
      <c r="M89" s="518"/>
      <c r="N89" s="518"/>
      <c r="O89" s="518"/>
      <c r="P89" s="518"/>
      <c r="Q89" s="518"/>
      <c r="R89" s="518"/>
      <c r="S89" s="518"/>
      <c r="T89" s="518"/>
      <c r="U89" s="518"/>
      <c r="X89" s="263"/>
      <c r="Y89" s="263"/>
    </row>
    <row r="90" spans="1:21" ht="26.25">
      <c r="A90" s="53"/>
      <c r="B90" s="54"/>
      <c r="C90" s="110" t="s">
        <v>119</v>
      </c>
      <c r="D90" s="111">
        <v>19.22</v>
      </c>
      <c r="E90" s="111"/>
      <c r="F90" s="111"/>
      <c r="G90" s="111"/>
      <c r="H90" s="111"/>
      <c r="I90" s="111"/>
      <c r="J90" s="111"/>
      <c r="K90" s="111"/>
      <c r="L90" s="111"/>
      <c r="M90" s="111"/>
      <c r="N90" s="111"/>
      <c r="O90" s="111"/>
      <c r="P90" s="111"/>
      <c r="Q90" s="108">
        <f>Q35+Q39+Q42+Q45+Q47+Q50+Q52+Q54+Q57+Q61+Q63+Q67+Q69+Q71+Q76+Q78</f>
        <v>195475.11125</v>
      </c>
      <c r="R90" s="111"/>
      <c r="S90" s="111"/>
      <c r="T90" s="111"/>
      <c r="U90" s="111"/>
    </row>
    <row r="91" spans="1:21" ht="52.5">
      <c r="A91" s="53"/>
      <c r="B91" s="54"/>
      <c r="C91" s="110" t="s">
        <v>120</v>
      </c>
      <c r="D91" s="111"/>
      <c r="E91" s="111"/>
      <c r="F91" s="111"/>
      <c r="G91" s="111"/>
      <c r="H91" s="111"/>
      <c r="I91" s="111"/>
      <c r="J91" s="111"/>
      <c r="K91" s="111"/>
      <c r="L91" s="111"/>
      <c r="M91" s="111"/>
      <c r="N91" s="111"/>
      <c r="O91" s="111"/>
      <c r="P91" s="111"/>
      <c r="Q91" s="107">
        <v>347</v>
      </c>
      <c r="R91" s="111"/>
      <c r="S91" s="111"/>
      <c r="T91" s="111"/>
      <c r="U91" s="111"/>
    </row>
    <row r="92" spans="1:21" ht="12.75">
      <c r="A92" s="53"/>
      <c r="B92" s="54"/>
      <c r="C92" s="110" t="s">
        <v>121</v>
      </c>
      <c r="D92" s="111"/>
      <c r="E92" s="111"/>
      <c r="F92" s="111"/>
      <c r="G92" s="111"/>
      <c r="H92" s="111"/>
      <c r="I92" s="111"/>
      <c r="J92" s="111"/>
      <c r="K92" s="111"/>
      <c r="L92" s="111"/>
      <c r="M92" s="111"/>
      <c r="N92" s="111"/>
      <c r="O92" s="111"/>
      <c r="P92" s="111"/>
      <c r="Q92" s="107">
        <f>Q90/(4.3*Q91)</f>
        <v>131.00670950338449</v>
      </c>
      <c r="R92" s="111"/>
      <c r="S92" s="111"/>
      <c r="T92" s="111"/>
      <c r="U92" s="111"/>
    </row>
    <row r="93" spans="1:22" ht="12.75">
      <c r="A93" s="112"/>
      <c r="B93" s="113"/>
      <c r="C93" s="114" t="s">
        <v>122</v>
      </c>
      <c r="D93" s="115"/>
      <c r="E93" s="115"/>
      <c r="F93" s="115"/>
      <c r="G93" s="115"/>
      <c r="H93" s="115"/>
      <c r="I93" s="116"/>
      <c r="J93" s="116"/>
      <c r="K93" s="117"/>
      <c r="L93" s="118"/>
      <c r="M93" s="117"/>
      <c r="N93" s="118"/>
      <c r="O93" s="117"/>
      <c r="P93" s="118"/>
      <c r="Q93" s="117"/>
      <c r="R93" s="117"/>
      <c r="S93" s="117"/>
      <c r="T93" s="117"/>
      <c r="U93" s="117"/>
      <c r="V93" s="119"/>
    </row>
    <row r="94" spans="1:22" ht="12.75">
      <c r="A94" s="112"/>
      <c r="B94" s="113"/>
      <c r="C94" s="114"/>
      <c r="D94" s="117"/>
      <c r="E94" s="118"/>
      <c r="F94" s="118"/>
      <c r="G94" s="118"/>
      <c r="H94" s="117"/>
      <c r="I94" s="117"/>
      <c r="J94" s="117"/>
      <c r="K94" s="117"/>
      <c r="L94" s="118"/>
      <c r="M94" s="117"/>
      <c r="N94" s="118"/>
      <c r="O94" s="117"/>
      <c r="P94" s="118"/>
      <c r="Q94" s="117"/>
      <c r="R94" s="117"/>
      <c r="S94" s="117"/>
      <c r="T94" s="117"/>
      <c r="U94" s="117"/>
      <c r="V94" s="119"/>
    </row>
    <row r="95" spans="3:22" ht="12.75">
      <c r="C95" s="120" t="s">
        <v>16</v>
      </c>
      <c r="D95" s="120"/>
      <c r="E95" s="121"/>
      <c r="F95" s="121"/>
      <c r="G95" s="120"/>
      <c r="H95" s="120"/>
      <c r="I95" s="120"/>
      <c r="J95" s="120"/>
      <c r="K95" s="508" t="s">
        <v>123</v>
      </c>
      <c r="L95" s="508"/>
      <c r="M95" s="508"/>
      <c r="N95" s="508"/>
      <c r="V95" s="119"/>
    </row>
    <row r="96" spans="3:22" ht="12.75" customHeight="1">
      <c r="C96" s="122"/>
      <c r="D96" s="120"/>
      <c r="E96" s="509" t="s">
        <v>17</v>
      </c>
      <c r="F96" s="509"/>
      <c r="G96" s="113"/>
      <c r="H96" s="120"/>
      <c r="I96" s="120"/>
      <c r="J96" s="120"/>
      <c r="K96" s="120"/>
      <c r="L96" s="120"/>
      <c r="M96" s="120" t="s">
        <v>18</v>
      </c>
      <c r="N96" s="123"/>
      <c r="Q96" s="124"/>
      <c r="V96" s="119"/>
    </row>
    <row r="97" spans="3:22" ht="12.75">
      <c r="C97" s="120"/>
      <c r="D97" s="120"/>
      <c r="E97" s="120"/>
      <c r="F97" s="120"/>
      <c r="G97" s="120"/>
      <c r="H97" s="120"/>
      <c r="I97" s="120"/>
      <c r="J97" s="120"/>
      <c r="K97" s="120"/>
      <c r="L97" s="120"/>
      <c r="M97" s="120"/>
      <c r="N97" s="123"/>
      <c r="Q97" s="124"/>
      <c r="V97" s="119"/>
    </row>
    <row r="98" spans="8:22" ht="12.75">
      <c r="H98" s="125"/>
      <c r="I98" s="125"/>
      <c r="J98" s="125"/>
      <c r="Q98" s="124"/>
      <c r="V98" s="119"/>
    </row>
    <row r="99" spans="3:22" ht="12.75" customHeight="1">
      <c r="C99" s="510" t="s">
        <v>19</v>
      </c>
      <c r="D99" s="510"/>
      <c r="E99" s="126"/>
      <c r="F99" s="126"/>
      <c r="G99" s="126"/>
      <c r="H99" s="96"/>
      <c r="I99" s="96"/>
      <c r="J99" s="96"/>
      <c r="K99" s="508" t="s">
        <v>195</v>
      </c>
      <c r="L99" s="508"/>
      <c r="M99" s="508"/>
      <c r="N99" s="508"/>
      <c r="Q99" s="124"/>
      <c r="V99" s="119"/>
    </row>
    <row r="100" spans="3:27" ht="12.75">
      <c r="C100" s="510"/>
      <c r="D100" s="510"/>
      <c r="E100" s="509" t="s">
        <v>17</v>
      </c>
      <c r="F100" s="509"/>
      <c r="G100" s="113"/>
      <c r="H100" s="120"/>
      <c r="I100" s="120"/>
      <c r="J100" s="120"/>
      <c r="K100" s="120"/>
      <c r="L100" s="120"/>
      <c r="M100" s="120" t="s">
        <v>18</v>
      </c>
      <c r="N100" s="87"/>
      <c r="Q100" s="124"/>
      <c r="V100" s="104"/>
      <c r="W100" s="127"/>
      <c r="X100" s="2"/>
      <c r="Y100" s="3"/>
      <c r="Z100" s="3"/>
      <c r="AA100" s="3"/>
    </row>
    <row r="101" spans="3:27" ht="12.75">
      <c r="C101" s="293"/>
      <c r="D101" s="293"/>
      <c r="E101" s="113"/>
      <c r="F101" s="113"/>
      <c r="G101" s="113"/>
      <c r="H101" s="120"/>
      <c r="I101" s="120"/>
      <c r="J101" s="120"/>
      <c r="K101" s="120"/>
      <c r="L101" s="120"/>
      <c r="M101" s="120"/>
      <c r="N101" s="87"/>
      <c r="Q101" s="124"/>
      <c r="V101" s="104"/>
      <c r="W101" s="127"/>
      <c r="X101" s="2"/>
      <c r="Y101" s="3"/>
      <c r="Z101" s="3"/>
      <c r="AA101" s="3"/>
    </row>
    <row r="102" spans="3:27" ht="12.75">
      <c r="C102" s="293"/>
      <c r="D102" s="293"/>
      <c r="E102" s="113"/>
      <c r="F102" s="113"/>
      <c r="G102" s="113"/>
      <c r="H102" s="120"/>
      <c r="I102" s="120"/>
      <c r="J102" s="120"/>
      <c r="K102" s="120"/>
      <c r="L102" s="120"/>
      <c r="M102" s="120"/>
      <c r="N102" s="87"/>
      <c r="Q102" s="124"/>
      <c r="V102" s="104"/>
      <c r="W102" s="127"/>
      <c r="X102" s="2"/>
      <c r="Y102" s="3"/>
      <c r="Z102" s="3"/>
      <c r="AA102" s="3"/>
    </row>
    <row r="103" spans="3:27" ht="12.75">
      <c r="C103" s="293"/>
      <c r="D103" s="293"/>
      <c r="E103" s="113"/>
      <c r="F103" s="113"/>
      <c r="G103" s="113"/>
      <c r="H103" s="120"/>
      <c r="I103" s="120"/>
      <c r="J103" s="120"/>
      <c r="K103" s="120"/>
      <c r="L103" s="120"/>
      <c r="M103" s="120"/>
      <c r="N103" s="87"/>
      <c r="Q103" s="124"/>
      <c r="V103" s="104"/>
      <c r="W103" s="127"/>
      <c r="X103" s="2"/>
      <c r="Y103" s="3"/>
      <c r="Z103" s="3"/>
      <c r="AA103" s="3"/>
    </row>
    <row r="104" spans="3:27" ht="12.75">
      <c r="C104" s="293"/>
      <c r="D104" s="293"/>
      <c r="E104" s="113"/>
      <c r="F104" s="113"/>
      <c r="G104" s="113"/>
      <c r="H104" s="120"/>
      <c r="I104" s="120"/>
      <c r="J104" s="120"/>
      <c r="K104" s="120"/>
      <c r="L104" s="120"/>
      <c r="M104" s="120"/>
      <c r="N104" s="87"/>
      <c r="Q104" s="124"/>
      <c r="V104" s="104"/>
      <c r="W104" s="127"/>
      <c r="X104" s="2"/>
      <c r="Y104" s="3"/>
      <c r="Z104" s="3"/>
      <c r="AA104" s="3"/>
    </row>
    <row r="105" spans="3:27" ht="12.75">
      <c r="C105" s="293"/>
      <c r="D105" s="293"/>
      <c r="E105" s="113"/>
      <c r="F105" s="113"/>
      <c r="G105" s="113"/>
      <c r="H105" s="120"/>
      <c r="I105" s="120"/>
      <c r="J105" s="120"/>
      <c r="K105" s="120"/>
      <c r="L105" s="120"/>
      <c r="M105" s="120"/>
      <c r="N105" s="87"/>
      <c r="Q105" s="124"/>
      <c r="V105" s="104"/>
      <c r="W105" s="127"/>
      <c r="X105" s="2"/>
      <c r="Y105" s="3"/>
      <c r="Z105" s="3"/>
      <c r="AA105" s="3"/>
    </row>
    <row r="106" spans="3:27" ht="12.75">
      <c r="C106" s="293"/>
      <c r="D106" s="293"/>
      <c r="E106" s="113"/>
      <c r="F106" s="113"/>
      <c r="G106" s="113"/>
      <c r="H106" s="120"/>
      <c r="I106" s="120"/>
      <c r="J106" s="120"/>
      <c r="K106" s="120"/>
      <c r="L106" s="120"/>
      <c r="M106" s="120"/>
      <c r="N106" s="87"/>
      <c r="Q106" s="124"/>
      <c r="V106" s="104"/>
      <c r="W106" s="127"/>
      <c r="X106" s="2"/>
      <c r="Y106" s="3"/>
      <c r="Z106" s="3"/>
      <c r="AA106" s="3"/>
    </row>
    <row r="107" spans="3:27" ht="12.75">
      <c r="C107" s="293"/>
      <c r="D107" s="293"/>
      <c r="E107" s="113"/>
      <c r="F107" s="113"/>
      <c r="G107" s="113"/>
      <c r="H107" s="120"/>
      <c r="I107" s="120"/>
      <c r="J107" s="120"/>
      <c r="K107" s="120"/>
      <c r="L107" s="120"/>
      <c r="M107" s="120"/>
      <c r="N107" s="87"/>
      <c r="Q107" s="124"/>
      <c r="V107" s="104"/>
      <c r="W107" s="127"/>
      <c r="X107" s="2"/>
      <c r="Y107" s="3"/>
      <c r="Z107" s="3"/>
      <c r="AA107" s="3"/>
    </row>
    <row r="108" spans="3:27" ht="12.75">
      <c r="C108" s="293"/>
      <c r="D108" s="293"/>
      <c r="E108" s="113"/>
      <c r="F108" s="113"/>
      <c r="G108" s="113"/>
      <c r="H108" s="120"/>
      <c r="I108" s="120"/>
      <c r="J108" s="120"/>
      <c r="K108" s="120"/>
      <c r="L108" s="120"/>
      <c r="M108" s="120"/>
      <c r="N108" s="87"/>
      <c r="Q108" s="124"/>
      <c r="V108" s="104"/>
      <c r="W108" s="127"/>
      <c r="X108" s="2"/>
      <c r="Y108" s="3"/>
      <c r="Z108" s="3"/>
      <c r="AA108" s="3"/>
    </row>
    <row r="109" spans="3:27" ht="12.75">
      <c r="C109" s="293"/>
      <c r="D109" s="293"/>
      <c r="E109" s="113"/>
      <c r="F109" s="113"/>
      <c r="G109" s="113"/>
      <c r="H109" s="120"/>
      <c r="I109" s="120"/>
      <c r="J109" s="120"/>
      <c r="K109" s="120"/>
      <c r="L109" s="120"/>
      <c r="M109" s="120"/>
      <c r="N109" s="87"/>
      <c r="Q109" s="124"/>
      <c r="V109" s="104"/>
      <c r="W109" s="127"/>
      <c r="X109" s="2"/>
      <c r="Y109" s="3"/>
      <c r="Z109" s="3"/>
      <c r="AA109" s="3"/>
    </row>
    <row r="110" spans="3:27" ht="12.75">
      <c r="C110" s="293"/>
      <c r="D110" s="293"/>
      <c r="E110" s="113"/>
      <c r="F110" s="113"/>
      <c r="G110" s="113"/>
      <c r="H110" s="120"/>
      <c r="I110" s="120"/>
      <c r="J110" s="120"/>
      <c r="K110" s="120"/>
      <c r="L110" s="120"/>
      <c r="M110" s="120"/>
      <c r="N110" s="87"/>
      <c r="Q110" s="124"/>
      <c r="V110" s="104"/>
      <c r="W110" s="127"/>
      <c r="X110" s="2"/>
      <c r="Y110" s="3"/>
      <c r="Z110" s="3"/>
      <c r="AA110" s="3"/>
    </row>
    <row r="111" spans="3:27" ht="12.75">
      <c r="C111" s="293"/>
      <c r="D111" s="293"/>
      <c r="E111" s="113"/>
      <c r="F111" s="113"/>
      <c r="G111" s="113"/>
      <c r="H111" s="120"/>
      <c r="I111" s="120"/>
      <c r="J111" s="120"/>
      <c r="K111" s="120"/>
      <c r="L111" s="120"/>
      <c r="M111" s="120"/>
      <c r="N111" s="87"/>
      <c r="Q111" s="124"/>
      <c r="V111" s="104"/>
      <c r="W111" s="127"/>
      <c r="X111" s="2"/>
      <c r="Y111" s="3"/>
      <c r="Z111" s="3"/>
      <c r="AA111" s="3"/>
    </row>
    <row r="112" spans="3:27" ht="12.75">
      <c r="C112" s="293"/>
      <c r="D112" s="293"/>
      <c r="E112" s="113"/>
      <c r="F112" s="113"/>
      <c r="G112" s="113"/>
      <c r="H112" s="120"/>
      <c r="I112" s="120"/>
      <c r="J112" s="120"/>
      <c r="K112" s="120"/>
      <c r="L112" s="120"/>
      <c r="M112" s="120"/>
      <c r="N112" s="87"/>
      <c r="Q112" s="124"/>
      <c r="V112" s="104"/>
      <c r="W112" s="127"/>
      <c r="X112" s="2"/>
      <c r="Y112" s="3"/>
      <c r="Z112" s="3"/>
      <c r="AA112" s="3"/>
    </row>
    <row r="113" spans="3:27" ht="12.75">
      <c r="C113" s="293"/>
      <c r="D113" s="293"/>
      <c r="E113" s="113"/>
      <c r="F113" s="113"/>
      <c r="G113" s="113"/>
      <c r="H113" s="120"/>
      <c r="I113" s="120"/>
      <c r="J113" s="120"/>
      <c r="K113" s="120"/>
      <c r="L113" s="120"/>
      <c r="M113" s="120"/>
      <c r="N113" s="87"/>
      <c r="Q113" s="124"/>
      <c r="V113" s="104"/>
      <c r="W113" s="127"/>
      <c r="X113" s="2"/>
      <c r="Y113" s="3"/>
      <c r="Z113" s="3"/>
      <c r="AA113" s="3"/>
    </row>
    <row r="114" spans="8:27" ht="12.75">
      <c r="H114" s="88" t="s">
        <v>124</v>
      </c>
      <c r="V114" s="127"/>
      <c r="W114" s="127"/>
      <c r="X114" s="3"/>
      <c r="Y114" s="3"/>
      <c r="Z114" s="3"/>
      <c r="AA114" s="3"/>
    </row>
    <row r="115" ht="12.75">
      <c r="V115" s="119"/>
    </row>
    <row r="116" spans="8:22" ht="17.25">
      <c r="H116" s="511" t="s">
        <v>126</v>
      </c>
      <c r="I116" s="511"/>
      <c r="J116" s="511"/>
      <c r="K116" s="511"/>
      <c r="L116" s="511"/>
      <c r="M116" s="511"/>
      <c r="N116" s="511"/>
      <c r="O116" s="511"/>
      <c r="P116" s="511"/>
      <c r="V116" s="119"/>
    </row>
    <row r="117" spans="1:22" ht="17.25">
      <c r="A117" s="112"/>
      <c r="B117" s="128"/>
      <c r="C117" s="511" t="s">
        <v>209</v>
      </c>
      <c r="D117" s="511"/>
      <c r="E117" s="511"/>
      <c r="F117" s="511"/>
      <c r="G117" s="511"/>
      <c r="H117" s="511"/>
      <c r="I117" s="511"/>
      <c r="J117" s="511"/>
      <c r="K117" s="511"/>
      <c r="L117" s="511"/>
      <c r="M117" s="511"/>
      <c r="N117" s="511"/>
      <c r="O117" s="511"/>
      <c r="P117" s="511"/>
      <c r="Q117" s="511"/>
      <c r="R117" s="511"/>
      <c r="S117" s="511"/>
      <c r="T117" s="511"/>
      <c r="U117" s="511"/>
      <c r="V117" s="128"/>
    </row>
    <row r="118" spans="1:22" ht="12.75">
      <c r="A118" s="112"/>
      <c r="B118" s="128"/>
      <c r="C118" s="129"/>
      <c r="D118" s="120"/>
      <c r="E118" s="120"/>
      <c r="F118" s="120"/>
      <c r="G118" s="120"/>
      <c r="H118" s="120"/>
      <c r="I118" s="120"/>
      <c r="J118" s="120"/>
      <c r="K118" s="120"/>
      <c r="L118" s="120"/>
      <c r="M118" s="120"/>
      <c r="N118" s="130"/>
      <c r="O118" s="130"/>
      <c r="P118" s="130"/>
      <c r="Q118" s="130"/>
      <c r="R118" s="128"/>
      <c r="S118" s="131"/>
      <c r="T118" s="128"/>
      <c r="U118" s="128"/>
      <c r="V118" s="128"/>
    </row>
    <row r="119" spans="1:22" ht="12.75" customHeight="1">
      <c r="A119" s="488" t="s">
        <v>9</v>
      </c>
      <c r="B119" s="488"/>
      <c r="C119" s="102" t="s">
        <v>10</v>
      </c>
      <c r="D119" s="489" t="s">
        <v>72</v>
      </c>
      <c r="E119" s="490" t="s">
        <v>73</v>
      </c>
      <c r="F119" s="490"/>
      <c r="G119" s="490"/>
      <c r="H119" s="490"/>
      <c r="I119" s="490"/>
      <c r="J119" s="490"/>
      <c r="K119" s="490"/>
      <c r="L119" s="490"/>
      <c r="M119" s="490"/>
      <c r="N119" s="490"/>
      <c r="O119" s="490"/>
      <c r="P119" s="490"/>
      <c r="Q119" s="490"/>
      <c r="R119" s="490"/>
      <c r="S119" s="490"/>
      <c r="T119" s="490"/>
      <c r="U119" s="490"/>
      <c r="V119" s="128"/>
    </row>
    <row r="120" spans="1:22" ht="12.75" customHeight="1">
      <c r="A120" s="488" t="s">
        <v>12</v>
      </c>
      <c r="B120" s="102"/>
      <c r="C120" s="103" t="s">
        <v>11</v>
      </c>
      <c r="D120" s="489"/>
      <c r="E120" s="490" t="s">
        <v>74</v>
      </c>
      <c r="F120" s="490"/>
      <c r="G120" s="490"/>
      <c r="H120" s="490"/>
      <c r="I120" s="490"/>
      <c r="J120" s="490"/>
      <c r="K120" s="490"/>
      <c r="L120" s="490"/>
      <c r="M120" s="490"/>
      <c r="N120" s="490"/>
      <c r="O120" s="490"/>
      <c r="P120" s="490"/>
      <c r="Q120" s="490"/>
      <c r="R120" s="497" t="s">
        <v>75</v>
      </c>
      <c r="S120" s="497" t="s">
        <v>27</v>
      </c>
      <c r="T120" s="497" t="s">
        <v>76</v>
      </c>
      <c r="U120" s="490" t="s">
        <v>272</v>
      </c>
      <c r="V120" s="128"/>
    </row>
    <row r="121" spans="1:21" ht="12.75" customHeight="1">
      <c r="A121" s="488"/>
      <c r="B121" s="103"/>
      <c r="C121" s="103"/>
      <c r="D121" s="489"/>
      <c r="E121" s="497" t="s">
        <v>78</v>
      </c>
      <c r="F121" s="497" t="s">
        <v>205</v>
      </c>
      <c r="G121" s="497" t="s">
        <v>206</v>
      </c>
      <c r="H121" s="494" t="s">
        <v>25</v>
      </c>
      <c r="I121" s="495" t="s">
        <v>171</v>
      </c>
      <c r="J121" s="495" t="s">
        <v>27</v>
      </c>
      <c r="K121" s="494" t="s">
        <v>80</v>
      </c>
      <c r="L121" s="497" t="s">
        <v>81</v>
      </c>
      <c r="M121" s="497" t="s">
        <v>82</v>
      </c>
      <c r="N121" s="497" t="s">
        <v>27</v>
      </c>
      <c r="O121" s="497" t="s">
        <v>83</v>
      </c>
      <c r="P121" s="497" t="s">
        <v>27</v>
      </c>
      <c r="Q121" s="490" t="s">
        <v>271</v>
      </c>
      <c r="R121" s="497"/>
      <c r="S121" s="497"/>
      <c r="T121" s="497"/>
      <c r="U121" s="490"/>
    </row>
    <row r="122" spans="1:21" ht="53.25" customHeight="1">
      <c r="A122" s="488"/>
      <c r="B122" s="35" t="s">
        <v>13</v>
      </c>
      <c r="C122" s="35" t="s">
        <v>14</v>
      </c>
      <c r="D122" s="489"/>
      <c r="E122" s="497"/>
      <c r="F122" s="497"/>
      <c r="G122" s="497"/>
      <c r="H122" s="494"/>
      <c r="I122" s="496"/>
      <c r="J122" s="496"/>
      <c r="K122" s="494"/>
      <c r="L122" s="497"/>
      <c r="M122" s="497"/>
      <c r="N122" s="497"/>
      <c r="O122" s="497"/>
      <c r="P122" s="497"/>
      <c r="Q122" s="490"/>
      <c r="R122" s="497"/>
      <c r="S122" s="497"/>
      <c r="T122" s="497"/>
      <c r="U122" s="490"/>
    </row>
    <row r="123" spans="1:21" ht="15" customHeight="1">
      <c r="A123" s="513"/>
      <c r="B123" s="520" t="s">
        <v>173</v>
      </c>
      <c r="C123" s="520"/>
      <c r="D123" s="520"/>
      <c r="E123" s="520"/>
      <c r="F123" s="520"/>
      <c r="G123" s="520"/>
      <c r="H123" s="520"/>
      <c r="I123" s="520"/>
      <c r="J123" s="520"/>
      <c r="K123" s="520"/>
      <c r="L123" s="520"/>
      <c r="M123" s="520"/>
      <c r="N123" s="520"/>
      <c r="O123" s="520"/>
      <c r="P123" s="520"/>
      <c r="Q123" s="520"/>
      <c r="R123" s="520"/>
      <c r="S123" s="520"/>
      <c r="T123" s="520"/>
      <c r="U123" s="520"/>
    </row>
    <row r="124" spans="1:21" ht="12.75">
      <c r="A124" s="513"/>
      <c r="B124" s="146"/>
      <c r="C124" s="133" t="s">
        <v>128</v>
      </c>
      <c r="D124" s="133">
        <v>0.5</v>
      </c>
      <c r="E124" s="133">
        <v>5153</v>
      </c>
      <c r="F124" s="133"/>
      <c r="G124" s="133">
        <f>E124*50%</f>
        <v>2576.5</v>
      </c>
      <c r="H124" s="147">
        <f>(E124+F124+G124)*D124</f>
        <v>3864.75</v>
      </c>
      <c r="I124" s="147">
        <f>E124*J124*D124</f>
        <v>644.125</v>
      </c>
      <c r="J124" s="148">
        <v>0.25</v>
      </c>
      <c r="K124" s="133"/>
      <c r="L124" s="133"/>
      <c r="M124" s="135">
        <f>E124*D124*N124</f>
        <v>386.47499999999997</v>
      </c>
      <c r="N124" s="136">
        <v>0.15</v>
      </c>
      <c r="O124" s="133"/>
      <c r="P124" s="148"/>
      <c r="Q124" s="137">
        <f>H124+M124+I124+O124</f>
        <v>4895.35</v>
      </c>
      <c r="R124" s="135"/>
      <c r="S124" s="138"/>
      <c r="T124" s="135">
        <f>(Q124+R124)*0.6</f>
        <v>2937.21</v>
      </c>
      <c r="U124" s="139">
        <f>Q124+R124+T124</f>
        <v>7832.56</v>
      </c>
    </row>
    <row r="125" spans="1:21" ht="12.75">
      <c r="A125" s="513"/>
      <c r="B125" s="146"/>
      <c r="C125" s="133" t="s">
        <v>129</v>
      </c>
      <c r="D125" s="133">
        <v>0.5</v>
      </c>
      <c r="E125" s="133">
        <v>4707</v>
      </c>
      <c r="F125" s="133"/>
      <c r="G125" s="133">
        <f>E125*50%</f>
        <v>2353.5</v>
      </c>
      <c r="H125" s="147">
        <f>(E125+F125+G125)*D125</f>
        <v>3530.25</v>
      </c>
      <c r="I125" s="147">
        <f>E125*J125*D125</f>
        <v>588.375</v>
      </c>
      <c r="J125" s="148">
        <v>0.25</v>
      </c>
      <c r="K125" s="133"/>
      <c r="L125" s="133"/>
      <c r="M125" s="135">
        <f>E125*D125*N125</f>
        <v>353.025</v>
      </c>
      <c r="N125" s="136">
        <v>0.15</v>
      </c>
      <c r="O125" s="133">
        <f>E125*P125</f>
        <v>470.70000000000005</v>
      </c>
      <c r="P125" s="158">
        <v>0.1</v>
      </c>
      <c r="Q125" s="137">
        <f>H125+M125+I125+O125</f>
        <v>4942.349999999999</v>
      </c>
      <c r="R125" s="137"/>
      <c r="S125" s="137"/>
      <c r="T125" s="135">
        <f>(Q125+R125)*0.6</f>
        <v>2965.4099999999994</v>
      </c>
      <c r="U125" s="139">
        <f>Q125+R125+T125</f>
        <v>7907.759999999998</v>
      </c>
    </row>
    <row r="126" spans="1:21" ht="12.75">
      <c r="A126" s="513"/>
      <c r="B126" s="146"/>
      <c r="C126" s="133" t="s">
        <v>129</v>
      </c>
      <c r="D126" s="134">
        <v>1</v>
      </c>
      <c r="E126" s="134">
        <v>4707</v>
      </c>
      <c r="F126" s="134"/>
      <c r="G126" s="133">
        <f>E126*50%</f>
        <v>2353.5</v>
      </c>
      <c r="H126" s="147">
        <f>(E126+F126+G126)*D126</f>
        <v>7060.5</v>
      </c>
      <c r="I126" s="147">
        <f>E126*J126*D126</f>
        <v>1176.75</v>
      </c>
      <c r="J126" s="148">
        <v>0.25</v>
      </c>
      <c r="K126" s="134"/>
      <c r="L126" s="134"/>
      <c r="M126" s="135">
        <f>E126*D126*N126</f>
        <v>235.35000000000002</v>
      </c>
      <c r="N126" s="136">
        <v>0.05</v>
      </c>
      <c r="O126" s="133">
        <f>E126*P126</f>
        <v>470.70000000000005</v>
      </c>
      <c r="P126" s="262">
        <v>0.1</v>
      </c>
      <c r="Q126" s="137">
        <f>H126+M126+I126+O126</f>
        <v>8943.300000000001</v>
      </c>
      <c r="R126" s="135"/>
      <c r="S126" s="138"/>
      <c r="T126" s="135">
        <f>(Q126+R126)*0.6</f>
        <v>5365.9800000000005</v>
      </c>
      <c r="U126" s="139">
        <f>Q126+R126+T126</f>
        <v>14309.280000000002</v>
      </c>
    </row>
    <row r="127" spans="1:21" ht="12.75">
      <c r="A127" s="519"/>
      <c r="B127" s="146"/>
      <c r="C127" s="133" t="s">
        <v>130</v>
      </c>
      <c r="D127" s="134">
        <v>0.25</v>
      </c>
      <c r="E127" s="134">
        <v>3605</v>
      </c>
      <c r="F127" s="134"/>
      <c r="G127" s="133">
        <f>E127*50%</f>
        <v>1802.5</v>
      </c>
      <c r="H127" s="147">
        <f>(E127+F127+G127)*D127</f>
        <v>1351.875</v>
      </c>
      <c r="I127" s="147">
        <f>E127*J127*D127</f>
        <v>225.3125</v>
      </c>
      <c r="J127" s="148">
        <v>0.25</v>
      </c>
      <c r="K127" s="134"/>
      <c r="L127" s="134"/>
      <c r="M127" s="135">
        <f>E127*D127*N127</f>
        <v>225.3125</v>
      </c>
      <c r="N127" s="136">
        <v>0.25</v>
      </c>
      <c r="O127" s="134"/>
      <c r="P127" s="262"/>
      <c r="Q127" s="137">
        <f>H127+M127+I127+O127</f>
        <v>1802.5</v>
      </c>
      <c r="R127" s="135"/>
      <c r="S127" s="138"/>
      <c r="T127" s="135">
        <f>(Q127+R127)*0.6</f>
        <v>1081.5</v>
      </c>
      <c r="U127" s="139">
        <f>Q127+R127+T127</f>
        <v>2884</v>
      </c>
    </row>
    <row r="128" spans="1:21" ht="13.5">
      <c r="A128" s="146"/>
      <c r="B128" s="146"/>
      <c r="C128" s="149" t="s">
        <v>15</v>
      </c>
      <c r="D128" s="150">
        <f>D124+D126+D127+D125</f>
        <v>2.25</v>
      </c>
      <c r="E128" s="150">
        <f aca="true" t="shared" si="20" ref="E128:U128">E124+E126+E127+E125</f>
        <v>18172</v>
      </c>
      <c r="F128" s="150"/>
      <c r="G128" s="150">
        <f t="shared" si="20"/>
        <v>9086</v>
      </c>
      <c r="H128" s="150">
        <f t="shared" si="20"/>
        <v>15807.375</v>
      </c>
      <c r="I128" s="150">
        <f t="shared" si="20"/>
        <v>2634.5625</v>
      </c>
      <c r="J128" s="150"/>
      <c r="K128" s="150"/>
      <c r="L128" s="150"/>
      <c r="M128" s="150">
        <f t="shared" si="20"/>
        <v>1200.1625</v>
      </c>
      <c r="N128" s="150"/>
      <c r="O128" s="150">
        <f t="shared" si="20"/>
        <v>941.4000000000001</v>
      </c>
      <c r="P128" s="150"/>
      <c r="Q128" s="150">
        <f t="shared" si="20"/>
        <v>20583.5</v>
      </c>
      <c r="R128" s="150"/>
      <c r="S128" s="150"/>
      <c r="T128" s="150">
        <f t="shared" si="20"/>
        <v>12350.1</v>
      </c>
      <c r="U128" s="150">
        <f t="shared" si="20"/>
        <v>32933.600000000006</v>
      </c>
    </row>
    <row r="129" spans="1:21" ht="13.5">
      <c r="A129" s="146"/>
      <c r="B129" s="146"/>
      <c r="C129" s="512" t="s">
        <v>112</v>
      </c>
      <c r="D129" s="512"/>
      <c r="E129" s="512"/>
      <c r="F129" s="512"/>
      <c r="G129" s="512"/>
      <c r="H129" s="512"/>
      <c r="I129" s="512"/>
      <c r="J129" s="512"/>
      <c r="K129" s="512"/>
      <c r="L129" s="512"/>
      <c r="M129" s="512"/>
      <c r="N129" s="512"/>
      <c r="O129" s="512"/>
      <c r="P129" s="512"/>
      <c r="Q129" s="512"/>
      <c r="R129" s="512"/>
      <c r="S129" s="512"/>
      <c r="T129" s="512"/>
      <c r="U129" s="145">
        <v>101485.65</v>
      </c>
    </row>
    <row r="130" spans="1:21" ht="12.75">
      <c r="A130" s="146"/>
      <c r="B130" s="146"/>
      <c r="C130" s="521" t="s">
        <v>207</v>
      </c>
      <c r="D130" s="522"/>
      <c r="E130" s="522"/>
      <c r="F130" s="522"/>
      <c r="G130" s="522"/>
      <c r="H130" s="522"/>
      <c r="I130" s="522"/>
      <c r="J130" s="522"/>
      <c r="K130" s="522"/>
      <c r="L130" s="522"/>
      <c r="M130" s="522"/>
      <c r="N130" s="522"/>
      <c r="O130" s="522"/>
      <c r="P130" s="522"/>
      <c r="Q130" s="522"/>
      <c r="R130" s="522"/>
      <c r="S130" s="522"/>
      <c r="T130" s="523"/>
      <c r="U130" s="145">
        <v>2298.88</v>
      </c>
    </row>
    <row r="131" spans="1:21" ht="13.5">
      <c r="A131" s="146"/>
      <c r="B131" s="146"/>
      <c r="C131" s="512" t="s">
        <v>113</v>
      </c>
      <c r="D131" s="512"/>
      <c r="E131" s="512"/>
      <c r="F131" s="512"/>
      <c r="G131" s="512"/>
      <c r="H131" s="512"/>
      <c r="I131" s="512"/>
      <c r="J131" s="512"/>
      <c r="K131" s="512"/>
      <c r="L131" s="512"/>
      <c r="M131" s="512"/>
      <c r="N131" s="512"/>
      <c r="O131" s="512"/>
      <c r="P131" s="512"/>
      <c r="Q131" s="512"/>
      <c r="R131" s="512"/>
      <c r="S131" s="512"/>
      <c r="T131" s="512"/>
      <c r="U131" s="145">
        <f>U129-U128-U130</f>
        <v>66253.16999999998</v>
      </c>
    </row>
    <row r="132" spans="1:21" ht="12.75">
      <c r="A132" s="128"/>
      <c r="B132" s="128"/>
      <c r="C132" s="129"/>
      <c r="D132" s="514"/>
      <c r="E132" s="514"/>
      <c r="F132" s="120"/>
      <c r="G132" s="120"/>
      <c r="H132" s="120"/>
      <c r="I132" s="120"/>
      <c r="J132" s="120"/>
      <c r="K132" s="120"/>
      <c r="L132" s="130"/>
      <c r="M132" s="130"/>
      <c r="N132" s="130"/>
      <c r="O132" s="130"/>
      <c r="P132" s="128"/>
      <c r="Q132" s="124"/>
      <c r="R132" s="128"/>
      <c r="S132" s="128"/>
      <c r="T132" s="151"/>
      <c r="U132" s="151"/>
    </row>
    <row r="133" spans="3:18" ht="12.75">
      <c r="C133" s="120" t="s">
        <v>16</v>
      </c>
      <c r="D133" s="120"/>
      <c r="E133" s="121"/>
      <c r="F133" s="121"/>
      <c r="G133" s="120"/>
      <c r="H133" s="120"/>
      <c r="I133" s="120"/>
      <c r="J133" s="120"/>
      <c r="K133" s="508" t="s">
        <v>123</v>
      </c>
      <c r="L133" s="508"/>
      <c r="M133" s="508"/>
      <c r="N133" s="508"/>
      <c r="O133" s="120"/>
      <c r="Q133" s="124"/>
      <c r="R133" s="152"/>
    </row>
    <row r="134" spans="3:17" ht="12.75">
      <c r="C134" s="122"/>
      <c r="D134" s="120"/>
      <c r="E134" s="509" t="s">
        <v>17</v>
      </c>
      <c r="F134" s="509"/>
      <c r="G134" s="113"/>
      <c r="H134" s="120"/>
      <c r="I134" s="120"/>
      <c r="J134" s="120"/>
      <c r="K134" s="120"/>
      <c r="L134" s="120"/>
      <c r="M134" s="120" t="s">
        <v>18</v>
      </c>
      <c r="N134" s="123"/>
      <c r="Q134" s="124"/>
    </row>
    <row r="135" spans="3:17" ht="12.75">
      <c r="C135" s="96" t="s">
        <v>19</v>
      </c>
      <c r="D135" s="96"/>
      <c r="E135" s="153"/>
      <c r="F135" s="154"/>
      <c r="G135" s="96"/>
      <c r="H135" s="96"/>
      <c r="I135" s="96"/>
      <c r="J135" s="96"/>
      <c r="K135" s="508" t="s">
        <v>195</v>
      </c>
      <c r="L135" s="508"/>
      <c r="M135" s="508"/>
      <c r="N135" s="508"/>
      <c r="O135" s="508"/>
      <c r="Q135" s="124"/>
    </row>
    <row r="136" spans="5:14" ht="12.75">
      <c r="E136" s="509" t="s">
        <v>17</v>
      </c>
      <c r="F136" s="509"/>
      <c r="G136" s="113"/>
      <c r="H136" s="120"/>
      <c r="I136" s="120"/>
      <c r="J136" s="120"/>
      <c r="K136" s="120"/>
      <c r="L136" s="120"/>
      <c r="M136" s="120"/>
      <c r="N136" s="120" t="s">
        <v>18</v>
      </c>
    </row>
  </sheetData>
  <sheetProtection/>
  <mergeCells count="79">
    <mergeCell ref="K135:O135"/>
    <mergeCell ref="E136:F136"/>
    <mergeCell ref="C129:T129"/>
    <mergeCell ref="C130:T130"/>
    <mergeCell ref="C131:T131"/>
    <mergeCell ref="D132:E132"/>
    <mergeCell ref="K133:N133"/>
    <mergeCell ref="E134:F134"/>
    <mergeCell ref="N121:N122"/>
    <mergeCell ref="O121:O122"/>
    <mergeCell ref="P121:P122"/>
    <mergeCell ref="Q121:Q122"/>
    <mergeCell ref="A123:A127"/>
    <mergeCell ref="B123:U123"/>
    <mergeCell ref="U120:U122"/>
    <mergeCell ref="E121:E122"/>
    <mergeCell ref="F121:F122"/>
    <mergeCell ref="G121:G122"/>
    <mergeCell ref="H121:H122"/>
    <mergeCell ref="I121:I122"/>
    <mergeCell ref="J121:J122"/>
    <mergeCell ref="K121:K122"/>
    <mergeCell ref="L121:L122"/>
    <mergeCell ref="M121:M122"/>
    <mergeCell ref="H116:P116"/>
    <mergeCell ref="C117:U117"/>
    <mergeCell ref="A119:B119"/>
    <mergeCell ref="D119:D122"/>
    <mergeCell ref="E119:U119"/>
    <mergeCell ref="A120:A122"/>
    <mergeCell ref="E120:Q120"/>
    <mergeCell ref="R120:R122"/>
    <mergeCell ref="S120:S122"/>
    <mergeCell ref="T120:T122"/>
    <mergeCell ref="C85:T85"/>
    <mergeCell ref="D89:U89"/>
    <mergeCell ref="K95:N95"/>
    <mergeCell ref="E96:F96"/>
    <mergeCell ref="C99:D100"/>
    <mergeCell ref="K99:N99"/>
    <mergeCell ref="E100:F100"/>
    <mergeCell ref="M19:M20"/>
    <mergeCell ref="N19:N20"/>
    <mergeCell ref="O19:O20"/>
    <mergeCell ref="P19:P20"/>
    <mergeCell ref="Q19:Q20"/>
    <mergeCell ref="A22:U22"/>
    <mergeCell ref="T18:T20"/>
    <mergeCell ref="U18:U20"/>
    <mergeCell ref="E19:E20"/>
    <mergeCell ref="F19:F20"/>
    <mergeCell ref="G19:G20"/>
    <mergeCell ref="H19:H20"/>
    <mergeCell ref="I19:I20"/>
    <mergeCell ref="J19:J20"/>
    <mergeCell ref="K19:K20"/>
    <mergeCell ref="L19:L20"/>
    <mergeCell ref="U12:U13"/>
    <mergeCell ref="M13:O13"/>
    <mergeCell ref="B14:E14"/>
    <mergeCell ref="A17:B17"/>
    <mergeCell ref="D17:D20"/>
    <mergeCell ref="E17:U17"/>
    <mergeCell ref="A18:A20"/>
    <mergeCell ref="E18:Q18"/>
    <mergeCell ref="R18:R20"/>
    <mergeCell ref="S18:S20"/>
    <mergeCell ref="E11:F11"/>
    <mergeCell ref="H11:M11"/>
    <mergeCell ref="C12:D12"/>
    <mergeCell ref="E12:F12"/>
    <mergeCell ref="H12:M12"/>
    <mergeCell ref="T12:T13"/>
    <mergeCell ref="A1:C1"/>
    <mergeCell ref="N1:Q1"/>
    <mergeCell ref="A2:C2"/>
    <mergeCell ref="N3:O3"/>
    <mergeCell ref="N4:O4"/>
    <mergeCell ref="D9:F9"/>
  </mergeCells>
  <printOptions/>
  <pageMargins left="0.15748031496062992" right="0.15748031496062992" top="0.1968503937007874" bottom="0.1968503937007874" header="0.15748031496062992" footer="0.1968503937007874"/>
  <pageSetup horizontalDpi="600" verticalDpi="600" orientation="landscape" paperSize="9" scale="62" r:id="rId1"/>
  <rowBreaks count="1" manualBreakCount="1">
    <brk id="112" max="39" man="1"/>
  </rowBreaks>
  <colBreaks count="1" manualBreakCount="1">
    <brk id="22" max="141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Y60"/>
  <sheetViews>
    <sheetView tabSelected="1" zoomScale="80" zoomScaleNormal="80" zoomScalePageLayoutView="0" workbookViewId="0" topLeftCell="A7">
      <selection activeCell="A22" sqref="A22:S22"/>
    </sheetView>
  </sheetViews>
  <sheetFormatPr defaultColWidth="9.28125" defaultRowHeight="12.75"/>
  <cols>
    <col min="1" max="1" width="7.00390625" style="88" customWidth="1"/>
    <col min="2" max="2" width="3.140625" style="88" customWidth="1"/>
    <col min="3" max="3" width="24.140625" style="88" customWidth="1"/>
    <col min="4" max="4" width="7.57421875" style="88" customWidth="1"/>
    <col min="5" max="6" width="10.28125" style="88" customWidth="1"/>
    <col min="7" max="9" width="12.00390625" style="88" customWidth="1"/>
    <col min="10" max="10" width="10.7109375" style="88" customWidth="1"/>
    <col min="11" max="11" width="7.00390625" style="88" customWidth="1"/>
    <col min="12" max="12" width="9.7109375" style="88" customWidth="1"/>
    <col min="13" max="13" width="7.00390625" style="88" customWidth="1"/>
    <col min="14" max="14" width="13.7109375" style="88" customWidth="1"/>
    <col min="15" max="15" width="7.8515625" style="88" customWidth="1"/>
    <col min="16" max="16" width="13.140625" style="88" customWidth="1"/>
    <col min="17" max="18" width="9.421875" style="88" customWidth="1"/>
    <col min="19" max="19" width="15.57421875" style="88" customWidth="1"/>
    <col min="20" max="20" width="10.140625" style="88" customWidth="1"/>
    <col min="21" max="21" width="10.28125" style="88" customWidth="1"/>
    <col min="22" max="16384" width="9.28125" style="1" customWidth="1"/>
  </cols>
  <sheetData>
    <row r="1" spans="1:16" ht="12.75">
      <c r="A1" s="481"/>
      <c r="B1" s="481"/>
      <c r="C1" s="481"/>
      <c r="D1" s="87"/>
      <c r="E1" s="87"/>
      <c r="F1" s="87"/>
      <c r="G1" s="87"/>
      <c r="H1" s="87"/>
      <c r="I1" s="87"/>
      <c r="J1" s="87"/>
      <c r="K1" s="87"/>
      <c r="L1" s="87"/>
      <c r="M1" s="481" t="s">
        <v>0</v>
      </c>
      <c r="N1" s="481"/>
      <c r="O1" s="481"/>
      <c r="P1" s="481"/>
    </row>
    <row r="2" spans="1:15" ht="12.75">
      <c r="A2" s="481"/>
      <c r="B2" s="481"/>
      <c r="C2" s="481"/>
      <c r="D2" s="87"/>
      <c r="E2" s="87"/>
      <c r="F2" s="87"/>
      <c r="G2" s="87"/>
      <c r="H2" s="87"/>
      <c r="I2" s="87"/>
      <c r="J2" s="87"/>
      <c r="K2" s="87"/>
      <c r="L2" s="87"/>
      <c r="M2" s="89" t="s">
        <v>1</v>
      </c>
      <c r="N2" s="89"/>
      <c r="O2" s="299"/>
    </row>
    <row r="3" spans="1:15" ht="12.75">
      <c r="A3" s="90"/>
      <c r="B3" s="90"/>
      <c r="C3" s="90"/>
      <c r="D3" s="87"/>
      <c r="E3" s="87"/>
      <c r="F3" s="87"/>
      <c r="G3" s="87"/>
      <c r="H3" s="87"/>
      <c r="I3" s="87"/>
      <c r="J3" s="87"/>
      <c r="K3" s="87"/>
      <c r="L3" s="87"/>
      <c r="M3" s="481" t="s">
        <v>2</v>
      </c>
      <c r="N3" s="481"/>
      <c r="O3" s="299"/>
    </row>
    <row r="4" spans="1:15" ht="12.75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481" t="s">
        <v>3</v>
      </c>
      <c r="N4" s="481"/>
      <c r="O4" s="299"/>
    </row>
    <row r="5" spans="1:15" ht="12.75">
      <c r="A5" s="87"/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</row>
    <row r="6" spans="1:15" ht="12.75">
      <c r="A6" s="87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91" t="s">
        <v>4</v>
      </c>
      <c r="O6" s="301"/>
    </row>
    <row r="7" spans="1:15" ht="12.75">
      <c r="A7" s="87"/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91">
        <v>301017</v>
      </c>
      <c r="O7" s="301"/>
    </row>
    <row r="8" spans="1:15" ht="13.5" thickBot="1">
      <c r="A8" s="92"/>
      <c r="B8" s="92"/>
      <c r="C8" s="93" t="s">
        <v>275</v>
      </c>
      <c r="D8" s="93"/>
      <c r="E8" s="93"/>
      <c r="F8" s="93"/>
      <c r="G8" s="93"/>
      <c r="H8" s="93"/>
      <c r="I8" s="93"/>
      <c r="J8" s="93"/>
      <c r="K8" s="94"/>
      <c r="L8" s="92"/>
      <c r="M8" s="92"/>
      <c r="N8" s="95"/>
      <c r="O8" s="96"/>
    </row>
    <row r="9" spans="1:15" ht="12.75">
      <c r="A9" s="87"/>
      <c r="B9" s="87"/>
      <c r="C9" s="87"/>
      <c r="D9" s="482" t="s">
        <v>5</v>
      </c>
      <c r="E9" s="482"/>
      <c r="F9" s="482"/>
      <c r="G9" s="87"/>
      <c r="H9" s="87"/>
      <c r="I9" s="87"/>
      <c r="J9" s="87"/>
      <c r="K9" s="87"/>
      <c r="L9" s="87"/>
      <c r="M9" s="87"/>
      <c r="N9" s="87"/>
      <c r="O9" s="87"/>
    </row>
    <row r="10" spans="1:15" ht="12.75">
      <c r="A10" s="87"/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</row>
    <row r="11" spans="1:15" ht="12.75">
      <c r="A11" s="87"/>
      <c r="B11" s="87"/>
      <c r="C11" s="87"/>
      <c r="D11" s="87"/>
      <c r="E11" s="483" t="s">
        <v>6</v>
      </c>
      <c r="F11" s="483"/>
      <c r="G11" s="484"/>
      <c r="H11" s="484"/>
      <c r="I11" s="484"/>
      <c r="J11" s="484"/>
      <c r="K11" s="484"/>
      <c r="L11" s="484"/>
      <c r="M11" s="87"/>
      <c r="N11" s="87"/>
      <c r="O11" s="87"/>
    </row>
    <row r="12" spans="1:19" ht="12.75">
      <c r="A12" s="87"/>
      <c r="B12" s="87"/>
      <c r="C12" s="485" t="s">
        <v>7</v>
      </c>
      <c r="D12" s="485"/>
      <c r="E12" s="483">
        <v>1</v>
      </c>
      <c r="F12" s="483"/>
      <c r="G12" s="484"/>
      <c r="H12" s="484"/>
      <c r="I12" s="484"/>
      <c r="J12" s="484"/>
      <c r="K12" s="484"/>
      <c r="L12" s="484"/>
      <c r="M12" s="87" t="s">
        <v>8</v>
      </c>
      <c r="N12" s="87"/>
      <c r="O12" s="87"/>
      <c r="Q12" s="486"/>
      <c r="R12" s="300"/>
      <c r="S12" s="486"/>
    </row>
    <row r="13" spans="12:19" ht="12.75">
      <c r="L13" s="498" t="s">
        <v>71</v>
      </c>
      <c r="M13" s="498"/>
      <c r="N13" s="498"/>
      <c r="O13" s="97"/>
      <c r="Q13" s="486"/>
      <c r="R13" s="300"/>
      <c r="S13" s="486"/>
    </row>
    <row r="14" spans="2:19" ht="12.75">
      <c r="B14" s="487" t="s">
        <v>280</v>
      </c>
      <c r="C14" s="487"/>
      <c r="D14" s="487"/>
      <c r="E14" s="487"/>
      <c r="F14" s="98"/>
      <c r="L14" s="90" t="s">
        <v>293</v>
      </c>
      <c r="M14" s="90"/>
      <c r="N14" s="90"/>
      <c r="O14" s="99"/>
      <c r="Q14" s="100"/>
      <c r="R14" s="100"/>
      <c r="S14" s="101"/>
    </row>
    <row r="15" spans="2:19" ht="12.75">
      <c r="B15" s="301"/>
      <c r="C15" s="301"/>
      <c r="D15" s="301"/>
      <c r="E15" s="301"/>
      <c r="F15" s="98"/>
      <c r="L15" s="90" t="s">
        <v>285</v>
      </c>
      <c r="M15" s="90"/>
      <c r="N15" s="90"/>
      <c r="O15" s="99"/>
      <c r="Q15" s="100"/>
      <c r="R15" s="100"/>
      <c r="S15" s="101"/>
    </row>
    <row r="17" spans="1:19" ht="12.75" customHeight="1">
      <c r="A17" s="488" t="s">
        <v>9</v>
      </c>
      <c r="B17" s="488"/>
      <c r="C17" s="102" t="s">
        <v>10</v>
      </c>
      <c r="D17" s="489" t="s">
        <v>72</v>
      </c>
      <c r="E17" s="490" t="s">
        <v>73</v>
      </c>
      <c r="F17" s="490"/>
      <c r="G17" s="490"/>
      <c r="H17" s="490"/>
      <c r="I17" s="490"/>
      <c r="J17" s="490"/>
      <c r="K17" s="490"/>
      <c r="L17" s="490"/>
      <c r="M17" s="490"/>
      <c r="N17" s="490"/>
      <c r="O17" s="490"/>
      <c r="P17" s="490"/>
      <c r="Q17" s="490"/>
      <c r="R17" s="490"/>
      <c r="S17" s="490"/>
    </row>
    <row r="18" spans="1:19" ht="12.75" customHeight="1">
      <c r="A18" s="488" t="s">
        <v>12</v>
      </c>
      <c r="B18" s="102"/>
      <c r="C18" s="103" t="s">
        <v>11</v>
      </c>
      <c r="D18" s="489"/>
      <c r="E18" s="490" t="s">
        <v>74</v>
      </c>
      <c r="F18" s="490"/>
      <c r="G18" s="490"/>
      <c r="H18" s="490"/>
      <c r="I18" s="490"/>
      <c r="J18" s="490"/>
      <c r="K18" s="490"/>
      <c r="L18" s="490"/>
      <c r="M18" s="490"/>
      <c r="N18" s="490"/>
      <c r="O18" s="490"/>
      <c r="P18" s="490"/>
      <c r="Q18" s="497" t="s">
        <v>76</v>
      </c>
      <c r="R18" s="491" t="s">
        <v>281</v>
      </c>
      <c r="S18" s="490" t="s">
        <v>77</v>
      </c>
    </row>
    <row r="19" spans="1:20" ht="12.75" customHeight="1">
      <c r="A19" s="488"/>
      <c r="B19" s="103"/>
      <c r="C19" s="103"/>
      <c r="D19" s="489"/>
      <c r="E19" s="497" t="s">
        <v>78</v>
      </c>
      <c r="F19" s="497" t="s">
        <v>205</v>
      </c>
      <c r="G19" s="494" t="s">
        <v>25</v>
      </c>
      <c r="H19" s="495" t="s">
        <v>171</v>
      </c>
      <c r="I19" s="495" t="s">
        <v>27</v>
      </c>
      <c r="J19" s="494" t="s">
        <v>80</v>
      </c>
      <c r="K19" s="497" t="s">
        <v>81</v>
      </c>
      <c r="L19" s="497" t="s">
        <v>82</v>
      </c>
      <c r="M19" s="497" t="s">
        <v>27</v>
      </c>
      <c r="N19" s="497" t="s">
        <v>83</v>
      </c>
      <c r="O19" s="497" t="s">
        <v>27</v>
      </c>
      <c r="P19" s="490" t="s">
        <v>84</v>
      </c>
      <c r="Q19" s="497"/>
      <c r="R19" s="492"/>
      <c r="S19" s="490"/>
      <c r="T19" s="104"/>
    </row>
    <row r="20" spans="1:19" ht="21" customHeight="1">
      <c r="A20" s="488"/>
      <c r="B20" s="35" t="s">
        <v>13</v>
      </c>
      <c r="C20" s="35" t="s">
        <v>14</v>
      </c>
      <c r="D20" s="489"/>
      <c r="E20" s="497"/>
      <c r="F20" s="497"/>
      <c r="G20" s="494"/>
      <c r="H20" s="496"/>
      <c r="I20" s="496"/>
      <c r="J20" s="494"/>
      <c r="K20" s="497"/>
      <c r="L20" s="497"/>
      <c r="M20" s="497"/>
      <c r="N20" s="497"/>
      <c r="O20" s="497"/>
      <c r="P20" s="490"/>
      <c r="Q20" s="497"/>
      <c r="R20" s="493"/>
      <c r="S20" s="490"/>
    </row>
    <row r="21" spans="1:19" ht="12.75">
      <c r="A21" s="35">
        <v>1</v>
      </c>
      <c r="B21" s="35">
        <v>2</v>
      </c>
      <c r="C21" s="35">
        <v>3</v>
      </c>
      <c r="D21" s="35">
        <v>4</v>
      </c>
      <c r="E21" s="105">
        <v>5</v>
      </c>
      <c r="F21" s="105">
        <v>6</v>
      </c>
      <c r="G21" s="105">
        <v>7</v>
      </c>
      <c r="H21" s="105">
        <v>8</v>
      </c>
      <c r="I21" s="105">
        <v>9</v>
      </c>
      <c r="J21" s="105">
        <v>10</v>
      </c>
      <c r="K21" s="105">
        <v>11</v>
      </c>
      <c r="L21" s="105">
        <v>12</v>
      </c>
      <c r="M21" s="105">
        <v>13</v>
      </c>
      <c r="N21" s="105">
        <v>14</v>
      </c>
      <c r="O21" s="105">
        <v>15</v>
      </c>
      <c r="P21" s="105">
        <v>16</v>
      </c>
      <c r="Q21" s="105">
        <v>17</v>
      </c>
      <c r="R21" s="105">
        <v>18</v>
      </c>
      <c r="S21" s="105">
        <v>19</v>
      </c>
    </row>
    <row r="22" spans="1:19" ht="13.5">
      <c r="A22" s="499" t="s">
        <v>172</v>
      </c>
      <c r="B22" s="499"/>
      <c r="C22" s="499"/>
      <c r="D22" s="499"/>
      <c r="E22" s="499"/>
      <c r="F22" s="499"/>
      <c r="G22" s="499"/>
      <c r="H22" s="499"/>
      <c r="I22" s="499"/>
      <c r="J22" s="499"/>
      <c r="K22" s="499"/>
      <c r="L22" s="499"/>
      <c r="M22" s="499"/>
      <c r="N22" s="499"/>
      <c r="O22" s="499"/>
      <c r="P22" s="499"/>
      <c r="Q22" s="499"/>
      <c r="R22" s="499"/>
      <c r="S22" s="499"/>
    </row>
    <row r="23" spans="1:19" ht="12.75">
      <c r="A23" s="47"/>
      <c r="B23" s="35"/>
      <c r="C23" s="47" t="s">
        <v>16</v>
      </c>
      <c r="D23" s="35">
        <v>1</v>
      </c>
      <c r="E23" s="51">
        <f>5061*2.8</f>
        <v>14170.8</v>
      </c>
      <c r="F23" s="167"/>
      <c r="G23" s="37">
        <f>(E23+F23)*D23</f>
        <v>14170.8</v>
      </c>
      <c r="H23" s="37">
        <f>E23*I23</f>
        <v>3542.7</v>
      </c>
      <c r="I23" s="42">
        <v>0.25</v>
      </c>
      <c r="J23" s="37">
        <f>E23*K23</f>
        <v>3542.7</v>
      </c>
      <c r="K23" s="279">
        <v>0.25</v>
      </c>
      <c r="L23" s="37">
        <f>E23*M23</f>
        <v>3542.7</v>
      </c>
      <c r="M23" s="23">
        <v>0.25</v>
      </c>
      <c r="N23" s="52">
        <f>(E23+F23)*O23</f>
        <v>0</v>
      </c>
      <c r="O23" s="23"/>
      <c r="P23" s="49">
        <f aca="true" t="shared" si="0" ref="P23:P29">G23+J23+L23+N23+H23</f>
        <v>24798.9</v>
      </c>
      <c r="Q23" s="37">
        <f aca="true" t="shared" si="1" ref="Q23:Q29">P23*0.6</f>
        <v>14879.34</v>
      </c>
      <c r="R23" s="37"/>
      <c r="S23" s="49">
        <f aca="true" t="shared" si="2" ref="S23:S29">P23+Q23+R23</f>
        <v>39678.240000000005</v>
      </c>
    </row>
    <row r="24" spans="1:21" ht="39">
      <c r="A24" s="53"/>
      <c r="B24" s="54"/>
      <c r="C24" s="256" t="s">
        <v>86</v>
      </c>
      <c r="D24" s="54">
        <v>0.5</v>
      </c>
      <c r="E24" s="55">
        <f>E23*0.7</f>
        <v>9919.56</v>
      </c>
      <c r="F24" s="167"/>
      <c r="G24" s="37">
        <f>E24*D24+F24</f>
        <v>4959.78</v>
      </c>
      <c r="H24" s="37">
        <f>E24*D24*I24</f>
        <v>1239.945</v>
      </c>
      <c r="I24" s="42">
        <v>0.25</v>
      </c>
      <c r="J24" s="37">
        <f>E24*D24*K24</f>
        <v>743.967</v>
      </c>
      <c r="K24" s="57">
        <v>0.15</v>
      </c>
      <c r="L24" s="37">
        <f>E24*D24*M24</f>
        <v>1239.945</v>
      </c>
      <c r="M24" s="23">
        <v>0.25</v>
      </c>
      <c r="N24" s="52">
        <f>(E24+F24)*O24</f>
        <v>0</v>
      </c>
      <c r="O24" s="23"/>
      <c r="P24" s="49">
        <f t="shared" si="0"/>
        <v>8183.636999999999</v>
      </c>
      <c r="Q24" s="37">
        <f t="shared" si="1"/>
        <v>4910.182199999999</v>
      </c>
      <c r="R24" s="37"/>
      <c r="S24" s="49">
        <f t="shared" si="2"/>
        <v>13093.819199999998</v>
      </c>
      <c r="T24" s="500"/>
      <c r="U24" s="501"/>
    </row>
    <row r="25" spans="1:21" ht="26.25">
      <c r="A25" s="53"/>
      <c r="B25" s="54"/>
      <c r="C25" s="247" t="s">
        <v>87</v>
      </c>
      <c r="D25" s="54">
        <v>0.5</v>
      </c>
      <c r="E25" s="55">
        <f>E23*0.7</f>
        <v>9919.56</v>
      </c>
      <c r="F25" s="167"/>
      <c r="G25" s="37">
        <f>E25*D25+F25</f>
        <v>4959.78</v>
      </c>
      <c r="H25" s="37">
        <f>E25*D25*I25</f>
        <v>1239.945</v>
      </c>
      <c r="I25" s="42">
        <v>0.25</v>
      </c>
      <c r="J25" s="37">
        <f>E25*D25*K25</f>
        <v>743.967</v>
      </c>
      <c r="K25" s="57">
        <v>0.15</v>
      </c>
      <c r="L25" s="37">
        <f>E25*D25*M25</f>
        <v>743.967</v>
      </c>
      <c r="M25" s="23">
        <v>0.15</v>
      </c>
      <c r="N25" s="52">
        <f>(E25+F25)*O25</f>
        <v>0</v>
      </c>
      <c r="O25" s="23"/>
      <c r="P25" s="49">
        <f t="shared" si="0"/>
        <v>7687.658999999999</v>
      </c>
      <c r="Q25" s="37">
        <f t="shared" si="1"/>
        <v>4612.595399999999</v>
      </c>
      <c r="R25" s="37"/>
      <c r="S25" s="49">
        <f t="shared" si="2"/>
        <v>12300.254399999998</v>
      </c>
      <c r="T25" s="500"/>
      <c r="U25" s="501"/>
    </row>
    <row r="26" spans="1:21" ht="12.75">
      <c r="A26" s="53"/>
      <c r="B26" s="54"/>
      <c r="C26" s="247" t="s">
        <v>179</v>
      </c>
      <c r="D26" s="54">
        <v>1</v>
      </c>
      <c r="E26" s="55">
        <v>3167</v>
      </c>
      <c r="F26" s="56"/>
      <c r="G26" s="37">
        <f>E26*D26</f>
        <v>3167</v>
      </c>
      <c r="H26" s="37">
        <f>G26*I26</f>
        <v>0</v>
      </c>
      <c r="I26" s="42"/>
      <c r="J26" s="280"/>
      <c r="K26" s="281"/>
      <c r="L26" s="37">
        <f>G26*M26</f>
        <v>475.04999999999995</v>
      </c>
      <c r="M26" s="23">
        <v>0.15</v>
      </c>
      <c r="N26" s="52">
        <f>(E26+F26)*O26</f>
        <v>0</v>
      </c>
      <c r="O26" s="23"/>
      <c r="P26" s="49">
        <f t="shared" si="0"/>
        <v>3642.05</v>
      </c>
      <c r="Q26" s="37">
        <f t="shared" si="1"/>
        <v>2185.23</v>
      </c>
      <c r="R26" s="37">
        <f>(9544*D26)-(P26+Q26)</f>
        <v>3716.7199999999993</v>
      </c>
      <c r="S26" s="49">
        <f t="shared" si="2"/>
        <v>9544</v>
      </c>
      <c r="T26" s="500"/>
      <c r="U26" s="501"/>
    </row>
    <row r="27" spans="1:21" ht="12.75">
      <c r="A27" s="53"/>
      <c r="B27" s="54"/>
      <c r="C27" s="47" t="s">
        <v>89</v>
      </c>
      <c r="D27" s="54">
        <v>1</v>
      </c>
      <c r="E27" s="38">
        <v>2597</v>
      </c>
      <c r="F27" s="56"/>
      <c r="G27" s="37">
        <f>E27*D27</f>
        <v>2597</v>
      </c>
      <c r="H27" s="37"/>
      <c r="I27" s="42"/>
      <c r="J27" s="282"/>
      <c r="K27" s="57"/>
      <c r="L27" s="37">
        <f>G27*M27</f>
        <v>259.7</v>
      </c>
      <c r="M27" s="23">
        <v>0.1</v>
      </c>
      <c r="N27" s="52">
        <f>(E27+F27)*O27</f>
        <v>0</v>
      </c>
      <c r="O27" s="23"/>
      <c r="P27" s="49">
        <f t="shared" si="0"/>
        <v>2856.7</v>
      </c>
      <c r="Q27" s="37">
        <f t="shared" si="1"/>
        <v>1714.0199999999998</v>
      </c>
      <c r="R27" s="37">
        <f>(9544*D27)-(P27+Q27)</f>
        <v>4973.280000000001</v>
      </c>
      <c r="S27" s="49">
        <f t="shared" si="2"/>
        <v>9544</v>
      </c>
      <c r="T27" s="500"/>
      <c r="U27" s="501"/>
    </row>
    <row r="28" spans="1:21" ht="12.75">
      <c r="A28" s="53"/>
      <c r="B28" s="54"/>
      <c r="C28" s="47" t="s">
        <v>292</v>
      </c>
      <c r="D28" s="54">
        <v>0.25</v>
      </c>
      <c r="E28" s="38">
        <v>4133</v>
      </c>
      <c r="F28" s="56"/>
      <c r="G28" s="37">
        <f>E28*D28</f>
        <v>1033.25</v>
      </c>
      <c r="H28" s="37">
        <f>E28*D28*I28</f>
        <v>258.3125</v>
      </c>
      <c r="I28" s="42">
        <v>0.25</v>
      </c>
      <c r="J28" s="282"/>
      <c r="K28" s="57"/>
      <c r="L28" s="37">
        <f>G28*M28</f>
        <v>258.3125</v>
      </c>
      <c r="M28" s="48">
        <v>0.25</v>
      </c>
      <c r="N28" s="52"/>
      <c r="O28" s="23"/>
      <c r="P28" s="49">
        <f t="shared" si="0"/>
        <v>1549.875</v>
      </c>
      <c r="Q28" s="37">
        <f t="shared" si="1"/>
        <v>929.925</v>
      </c>
      <c r="R28" s="37"/>
      <c r="S28" s="49">
        <f t="shared" si="2"/>
        <v>2479.8</v>
      </c>
      <c r="T28" s="322"/>
      <c r="U28" s="321"/>
    </row>
    <row r="29" spans="1:19" ht="26.25">
      <c r="A29" s="53"/>
      <c r="B29" s="54"/>
      <c r="C29" s="259" t="s">
        <v>115</v>
      </c>
      <c r="D29" s="40">
        <v>2</v>
      </c>
      <c r="E29" s="38">
        <v>3774</v>
      </c>
      <c r="F29" s="38"/>
      <c r="G29" s="43">
        <f>E29*D29</f>
        <v>7548</v>
      </c>
      <c r="H29" s="43">
        <f>G29*I29</f>
        <v>1887</v>
      </c>
      <c r="I29" s="42">
        <v>0.25</v>
      </c>
      <c r="J29" s="38"/>
      <c r="K29" s="59"/>
      <c r="L29" s="37">
        <f>G29*M29</f>
        <v>1887</v>
      </c>
      <c r="M29" s="39">
        <v>0.25</v>
      </c>
      <c r="N29" s="38"/>
      <c r="O29" s="38"/>
      <c r="P29" s="41">
        <f t="shared" si="0"/>
        <v>11322</v>
      </c>
      <c r="Q29" s="37">
        <f t="shared" si="1"/>
        <v>6793.2</v>
      </c>
      <c r="R29" s="37">
        <f>(9544*D29)-(P29+Q29)</f>
        <v>972.7999999999993</v>
      </c>
      <c r="S29" s="49">
        <f t="shared" si="2"/>
        <v>19088</v>
      </c>
    </row>
    <row r="30" spans="1:19" ht="12.75">
      <c r="A30" s="53"/>
      <c r="B30" s="54"/>
      <c r="C30" s="62" t="s">
        <v>59</v>
      </c>
      <c r="D30" s="63">
        <f aca="true" t="shared" si="3" ref="D30:S30">SUM(D23:D29)</f>
        <v>6.25</v>
      </c>
      <c r="E30" s="63">
        <f t="shared" si="3"/>
        <v>47680.92</v>
      </c>
      <c r="F30" s="63">
        <f t="shared" si="3"/>
        <v>0</v>
      </c>
      <c r="G30" s="63">
        <f t="shared" si="3"/>
        <v>38435.61</v>
      </c>
      <c r="H30" s="63">
        <f t="shared" si="3"/>
        <v>8167.902499999999</v>
      </c>
      <c r="I30" s="63">
        <f t="shared" si="3"/>
        <v>1.25</v>
      </c>
      <c r="J30" s="63">
        <f t="shared" si="3"/>
        <v>5030.633999999999</v>
      </c>
      <c r="K30" s="63">
        <f t="shared" si="3"/>
        <v>0.55</v>
      </c>
      <c r="L30" s="63">
        <f t="shared" si="3"/>
        <v>8406.6745</v>
      </c>
      <c r="M30" s="63">
        <f t="shared" si="3"/>
        <v>1.4</v>
      </c>
      <c r="N30" s="63">
        <f t="shared" si="3"/>
        <v>0</v>
      </c>
      <c r="O30" s="63">
        <f t="shared" si="3"/>
        <v>0</v>
      </c>
      <c r="P30" s="63">
        <f t="shared" si="3"/>
        <v>60040.820999999996</v>
      </c>
      <c r="Q30" s="63">
        <f t="shared" si="3"/>
        <v>36024.4926</v>
      </c>
      <c r="R30" s="63">
        <f t="shared" si="3"/>
        <v>9662.8</v>
      </c>
      <c r="S30" s="63">
        <f t="shared" si="3"/>
        <v>105728.1136</v>
      </c>
    </row>
    <row r="31" spans="1:19" ht="12.75">
      <c r="A31" s="53"/>
      <c r="B31" s="54"/>
      <c r="C31" s="502" t="s">
        <v>210</v>
      </c>
      <c r="D31" s="503"/>
      <c r="E31" s="503"/>
      <c r="F31" s="503"/>
      <c r="G31" s="503"/>
      <c r="H31" s="503"/>
      <c r="I31" s="503"/>
      <c r="J31" s="503"/>
      <c r="K31" s="503"/>
      <c r="L31" s="503"/>
      <c r="M31" s="503"/>
      <c r="N31" s="503"/>
      <c r="O31" s="503"/>
      <c r="P31" s="503"/>
      <c r="Q31" s="504"/>
      <c r="R31" s="304"/>
      <c r="S31" s="64">
        <v>121996.18</v>
      </c>
    </row>
    <row r="32" spans="1:19" ht="12.75">
      <c r="A32" s="53"/>
      <c r="B32" s="54"/>
      <c r="C32" s="505" t="s">
        <v>112</v>
      </c>
      <c r="D32" s="506"/>
      <c r="E32" s="506"/>
      <c r="F32" s="506"/>
      <c r="G32" s="506"/>
      <c r="H32" s="506"/>
      <c r="I32" s="506"/>
      <c r="J32" s="506"/>
      <c r="K32" s="506"/>
      <c r="L32" s="506"/>
      <c r="M32" s="506"/>
      <c r="N32" s="506"/>
      <c r="O32" s="506"/>
      <c r="P32" s="506"/>
      <c r="Q32" s="507"/>
      <c r="R32" s="305"/>
      <c r="S32" s="163">
        <f>S31-S30</f>
        <v>16268.066399999996</v>
      </c>
    </row>
    <row r="33" spans="1:20" ht="12.75">
      <c r="A33" s="112"/>
      <c r="B33" s="113"/>
      <c r="C33" s="114"/>
      <c r="D33" s="117"/>
      <c r="E33" s="118"/>
      <c r="F33" s="118"/>
      <c r="G33" s="117"/>
      <c r="H33" s="117"/>
      <c r="I33" s="117"/>
      <c r="J33" s="117"/>
      <c r="K33" s="118"/>
      <c r="L33" s="117"/>
      <c r="M33" s="118"/>
      <c r="N33" s="117"/>
      <c r="O33" s="118"/>
      <c r="P33" s="117"/>
      <c r="Q33" s="117"/>
      <c r="R33" s="117"/>
      <c r="S33" s="117"/>
      <c r="T33" s="119"/>
    </row>
    <row r="34" spans="3:20" ht="12.75">
      <c r="C34" s="120" t="s">
        <v>16</v>
      </c>
      <c r="D34" s="120"/>
      <c r="E34" s="121"/>
      <c r="F34" s="121"/>
      <c r="G34" s="120"/>
      <c r="H34" s="120"/>
      <c r="I34" s="120"/>
      <c r="J34" s="508" t="s">
        <v>123</v>
      </c>
      <c r="K34" s="508"/>
      <c r="L34" s="508"/>
      <c r="M34" s="508"/>
      <c r="T34" s="119"/>
    </row>
    <row r="35" spans="3:20" ht="12.75" customHeight="1">
      <c r="C35" s="122"/>
      <c r="D35" s="120"/>
      <c r="E35" s="509" t="s">
        <v>17</v>
      </c>
      <c r="F35" s="509"/>
      <c r="G35" s="120"/>
      <c r="H35" s="120"/>
      <c r="I35" s="120"/>
      <c r="J35" s="120"/>
      <c r="K35" s="120"/>
      <c r="L35" s="120" t="s">
        <v>18</v>
      </c>
      <c r="M35" s="123"/>
      <c r="P35" s="124"/>
      <c r="T35" s="119"/>
    </row>
    <row r="36" spans="3:20" ht="12.75"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3"/>
      <c r="P36" s="124"/>
      <c r="T36" s="119"/>
    </row>
    <row r="37" spans="7:20" ht="12.75">
      <c r="G37" s="125"/>
      <c r="H37" s="125"/>
      <c r="I37" s="125"/>
      <c r="P37" s="124"/>
      <c r="T37" s="119"/>
    </row>
    <row r="38" spans="3:20" ht="12.75" customHeight="1">
      <c r="C38" s="510" t="s">
        <v>19</v>
      </c>
      <c r="D38" s="510"/>
      <c r="E38" s="126"/>
      <c r="F38" s="126"/>
      <c r="G38" s="96"/>
      <c r="H38" s="96"/>
      <c r="I38" s="96"/>
      <c r="J38" s="508" t="s">
        <v>195</v>
      </c>
      <c r="K38" s="508"/>
      <c r="L38" s="508"/>
      <c r="M38" s="508"/>
      <c r="P38" s="124"/>
      <c r="T38" s="119"/>
    </row>
    <row r="39" spans="3:25" ht="12.75">
      <c r="C39" s="510"/>
      <c r="D39" s="510"/>
      <c r="E39" s="509" t="s">
        <v>17</v>
      </c>
      <c r="F39" s="509"/>
      <c r="G39" s="120"/>
      <c r="H39" s="120"/>
      <c r="I39" s="120"/>
      <c r="J39" s="120"/>
      <c r="K39" s="120"/>
      <c r="L39" s="120" t="s">
        <v>18</v>
      </c>
      <c r="M39" s="87"/>
      <c r="P39" s="124"/>
      <c r="T39" s="104"/>
      <c r="U39" s="127"/>
      <c r="V39" s="2"/>
      <c r="W39" s="3"/>
      <c r="X39" s="3"/>
      <c r="Y39" s="3"/>
    </row>
    <row r="40" spans="3:25" ht="12.75">
      <c r="C40" s="302"/>
      <c r="D40" s="302"/>
      <c r="E40" s="113"/>
      <c r="F40" s="113"/>
      <c r="G40" s="120"/>
      <c r="H40" s="120"/>
      <c r="I40" s="120"/>
      <c r="J40" s="120"/>
      <c r="K40" s="120"/>
      <c r="L40" s="120"/>
      <c r="M40" s="87"/>
      <c r="P40" s="124"/>
      <c r="T40" s="104"/>
      <c r="U40" s="127"/>
      <c r="V40" s="2"/>
      <c r="W40" s="3"/>
      <c r="X40" s="3"/>
      <c r="Y40" s="3"/>
    </row>
    <row r="41" spans="3:25" ht="12.75">
      <c r="C41" s="302"/>
      <c r="D41" s="302"/>
      <c r="E41" s="113"/>
      <c r="F41" s="113"/>
      <c r="G41" s="120"/>
      <c r="H41" s="120"/>
      <c r="I41" s="120"/>
      <c r="J41" s="120"/>
      <c r="K41" s="120"/>
      <c r="L41" s="120"/>
      <c r="M41" s="87"/>
      <c r="P41" s="124"/>
      <c r="T41" s="104"/>
      <c r="U41" s="127"/>
      <c r="V41" s="2"/>
      <c r="W41" s="3"/>
      <c r="X41" s="3"/>
      <c r="Y41" s="3"/>
    </row>
    <row r="42" spans="3:25" ht="12.75">
      <c r="C42" s="302"/>
      <c r="D42" s="302"/>
      <c r="E42" s="113"/>
      <c r="F42" s="113"/>
      <c r="G42" s="120"/>
      <c r="H42" s="120"/>
      <c r="I42" s="120"/>
      <c r="J42" s="120"/>
      <c r="K42" s="120"/>
      <c r="L42" s="120"/>
      <c r="M42" s="87"/>
      <c r="P42" s="124"/>
      <c r="T42" s="104"/>
      <c r="U42" s="127"/>
      <c r="V42" s="2"/>
      <c r="W42" s="3"/>
      <c r="X42" s="3"/>
      <c r="Y42" s="3"/>
    </row>
    <row r="43" ht="12.75">
      <c r="T43" s="119"/>
    </row>
    <row r="44" spans="7:20" ht="17.25">
      <c r="G44" s="511" t="s">
        <v>276</v>
      </c>
      <c r="H44" s="511"/>
      <c r="I44" s="511"/>
      <c r="J44" s="511"/>
      <c r="K44" s="511"/>
      <c r="L44" s="511"/>
      <c r="M44" s="511"/>
      <c r="N44" s="511"/>
      <c r="O44" s="511"/>
      <c r="T44" s="119"/>
    </row>
    <row r="45" spans="1:20" ht="17.25">
      <c r="A45" s="112"/>
      <c r="B45" s="128"/>
      <c r="C45" s="511" t="s">
        <v>209</v>
      </c>
      <c r="D45" s="511"/>
      <c r="E45" s="511"/>
      <c r="F45" s="511"/>
      <c r="G45" s="511"/>
      <c r="H45" s="511"/>
      <c r="I45" s="511"/>
      <c r="J45" s="511"/>
      <c r="K45" s="511"/>
      <c r="L45" s="511"/>
      <c r="M45" s="511"/>
      <c r="N45" s="511"/>
      <c r="O45" s="511"/>
      <c r="P45" s="511"/>
      <c r="Q45" s="511"/>
      <c r="R45" s="511"/>
      <c r="S45" s="511"/>
      <c r="T45" s="128"/>
    </row>
    <row r="46" spans="1:20" ht="12.75">
      <c r="A46" s="112"/>
      <c r="B46" s="128"/>
      <c r="C46" s="129"/>
      <c r="D46" s="120"/>
      <c r="E46" s="120"/>
      <c r="F46" s="120"/>
      <c r="G46" s="120"/>
      <c r="H46" s="120"/>
      <c r="I46" s="120"/>
      <c r="J46" s="120"/>
      <c r="K46" s="120"/>
      <c r="L46" s="120"/>
      <c r="M46" s="130"/>
      <c r="N46" s="130"/>
      <c r="O46" s="130"/>
      <c r="P46" s="130"/>
      <c r="Q46" s="128"/>
      <c r="R46" s="128"/>
      <c r="S46" s="128"/>
      <c r="T46" s="128"/>
    </row>
    <row r="47" spans="1:20" ht="12.75" customHeight="1">
      <c r="A47" s="488" t="s">
        <v>9</v>
      </c>
      <c r="B47" s="488"/>
      <c r="C47" s="102" t="s">
        <v>10</v>
      </c>
      <c r="D47" s="489" t="s">
        <v>72</v>
      </c>
      <c r="E47" s="490" t="s">
        <v>73</v>
      </c>
      <c r="F47" s="490"/>
      <c r="G47" s="490"/>
      <c r="H47" s="490"/>
      <c r="I47" s="490"/>
      <c r="J47" s="490"/>
      <c r="K47" s="490"/>
      <c r="L47" s="490"/>
      <c r="M47" s="490"/>
      <c r="N47" s="490"/>
      <c r="O47" s="490"/>
      <c r="P47" s="490"/>
      <c r="Q47" s="490"/>
      <c r="R47" s="490"/>
      <c r="S47" s="490"/>
      <c r="T47" s="128"/>
    </row>
    <row r="48" spans="1:20" ht="12.75" customHeight="1">
      <c r="A48" s="488" t="s">
        <v>12</v>
      </c>
      <c r="B48" s="102"/>
      <c r="C48" s="103" t="s">
        <v>11</v>
      </c>
      <c r="D48" s="489"/>
      <c r="E48" s="490" t="s">
        <v>74</v>
      </c>
      <c r="F48" s="490"/>
      <c r="G48" s="490"/>
      <c r="H48" s="490"/>
      <c r="I48" s="490"/>
      <c r="J48" s="490"/>
      <c r="K48" s="490"/>
      <c r="L48" s="490"/>
      <c r="M48" s="490"/>
      <c r="N48" s="490"/>
      <c r="O48" s="490"/>
      <c r="P48" s="490"/>
      <c r="Q48" s="497" t="s">
        <v>76</v>
      </c>
      <c r="R48" s="491" t="s">
        <v>281</v>
      </c>
      <c r="S48" s="490" t="s">
        <v>77</v>
      </c>
      <c r="T48" s="128"/>
    </row>
    <row r="49" spans="1:21" ht="12.75" customHeight="1">
      <c r="A49" s="488"/>
      <c r="B49" s="103"/>
      <c r="C49" s="103"/>
      <c r="D49" s="489"/>
      <c r="E49" s="497" t="s">
        <v>78</v>
      </c>
      <c r="F49" s="497" t="s">
        <v>79</v>
      </c>
      <c r="G49" s="494" t="s">
        <v>25</v>
      </c>
      <c r="H49" s="495" t="s">
        <v>171</v>
      </c>
      <c r="I49" s="495" t="s">
        <v>27</v>
      </c>
      <c r="J49" s="494" t="s">
        <v>80</v>
      </c>
      <c r="K49" s="497" t="s">
        <v>81</v>
      </c>
      <c r="L49" s="497" t="s">
        <v>82</v>
      </c>
      <c r="M49" s="497" t="s">
        <v>27</v>
      </c>
      <c r="N49" s="497" t="s">
        <v>83</v>
      </c>
      <c r="O49" s="497" t="s">
        <v>27</v>
      </c>
      <c r="P49" s="490" t="s">
        <v>84</v>
      </c>
      <c r="Q49" s="497"/>
      <c r="R49" s="492"/>
      <c r="S49" s="490"/>
      <c r="T49" s="501"/>
      <c r="U49" s="501"/>
    </row>
    <row r="50" spans="1:21" ht="53.25" customHeight="1">
      <c r="A50" s="488"/>
      <c r="B50" s="35" t="s">
        <v>13</v>
      </c>
      <c r="C50" s="35" t="s">
        <v>14</v>
      </c>
      <c r="D50" s="489"/>
      <c r="E50" s="497"/>
      <c r="F50" s="497"/>
      <c r="G50" s="494"/>
      <c r="H50" s="496"/>
      <c r="I50" s="496"/>
      <c r="J50" s="494"/>
      <c r="K50" s="497"/>
      <c r="L50" s="497"/>
      <c r="M50" s="497"/>
      <c r="N50" s="497"/>
      <c r="O50" s="497"/>
      <c r="P50" s="490"/>
      <c r="Q50" s="497"/>
      <c r="R50" s="493"/>
      <c r="S50" s="490"/>
      <c r="T50" s="501"/>
      <c r="U50" s="501"/>
    </row>
    <row r="51" spans="1:21" ht="12.75">
      <c r="A51" s="524" t="s">
        <v>127</v>
      </c>
      <c r="B51" s="524"/>
      <c r="C51" s="524"/>
      <c r="D51" s="524"/>
      <c r="E51" s="524"/>
      <c r="F51" s="524"/>
      <c r="G51" s="524"/>
      <c r="H51" s="524"/>
      <c r="I51" s="524"/>
      <c r="J51" s="524"/>
      <c r="K51" s="524"/>
      <c r="L51" s="524"/>
      <c r="M51" s="524"/>
      <c r="N51" s="524"/>
      <c r="O51" s="524"/>
      <c r="P51" s="524"/>
      <c r="Q51" s="524"/>
      <c r="R51" s="524"/>
      <c r="S51" s="524"/>
      <c r="T51" s="501"/>
      <c r="U51" s="501"/>
    </row>
    <row r="52" spans="1:21" ht="12.75">
      <c r="A52" s="525" t="s">
        <v>174</v>
      </c>
      <c r="B52" s="132"/>
      <c r="C52" s="133" t="s">
        <v>131</v>
      </c>
      <c r="D52" s="134">
        <v>1</v>
      </c>
      <c r="E52" s="134">
        <v>2466</v>
      </c>
      <c r="F52" s="134"/>
      <c r="G52" s="134">
        <f>E52*D52</f>
        <v>2466</v>
      </c>
      <c r="H52" s="134"/>
      <c r="I52" s="134"/>
      <c r="J52" s="134"/>
      <c r="K52" s="134"/>
      <c r="L52" s="135">
        <f>G52*M52</f>
        <v>123.30000000000001</v>
      </c>
      <c r="M52" s="136">
        <v>0.05</v>
      </c>
      <c r="N52" s="134"/>
      <c r="O52" s="298"/>
      <c r="P52" s="137">
        <f>G52+L52+J52</f>
        <v>2589.3</v>
      </c>
      <c r="Q52" s="135">
        <f>P52*0.6</f>
        <v>1553.5800000000002</v>
      </c>
      <c r="R52" s="37">
        <f>(9544*D52)-(P52+Q52)</f>
        <v>5401.12</v>
      </c>
      <c r="S52" s="49">
        <f>P52+Q52+R52</f>
        <v>9544</v>
      </c>
      <c r="T52" s="501"/>
      <c r="U52" s="501"/>
    </row>
    <row r="53" spans="1:21" ht="12.75">
      <c r="A53" s="513"/>
      <c r="B53" s="132"/>
      <c r="C53" s="142" t="s">
        <v>15</v>
      </c>
      <c r="D53" s="143">
        <f>SUM(D52:D52)</f>
        <v>1</v>
      </c>
      <c r="E53" s="143" t="s">
        <v>30</v>
      </c>
      <c r="F53" s="143"/>
      <c r="G53" s="143">
        <f>SUM(G52:G52)</f>
        <v>2466</v>
      </c>
      <c r="H53" s="143"/>
      <c r="I53" s="143"/>
      <c r="J53" s="143"/>
      <c r="K53" s="143"/>
      <c r="L53" s="137">
        <f>SUM(L52:L52)</f>
        <v>123.30000000000001</v>
      </c>
      <c r="M53" s="143"/>
      <c r="N53" s="143"/>
      <c r="O53" s="144"/>
      <c r="P53" s="137">
        <f>G53+L53</f>
        <v>2589.3</v>
      </c>
      <c r="Q53" s="137">
        <f>H53+M53</f>
        <v>0</v>
      </c>
      <c r="R53" s="137"/>
      <c r="S53" s="145">
        <f>SUM(S52:S52)</f>
        <v>9544</v>
      </c>
      <c r="T53" s="501"/>
      <c r="U53" s="501"/>
    </row>
    <row r="54" spans="1:21" ht="13.5">
      <c r="A54" s="513"/>
      <c r="B54" s="146"/>
      <c r="C54" s="512" t="s">
        <v>112</v>
      </c>
      <c r="D54" s="512"/>
      <c r="E54" s="512"/>
      <c r="F54" s="512"/>
      <c r="G54" s="512"/>
      <c r="H54" s="512"/>
      <c r="I54" s="512"/>
      <c r="J54" s="512"/>
      <c r="K54" s="512"/>
      <c r="L54" s="512"/>
      <c r="M54" s="512"/>
      <c r="N54" s="512"/>
      <c r="O54" s="512"/>
      <c r="P54" s="512"/>
      <c r="Q54" s="512"/>
      <c r="R54" s="303"/>
      <c r="S54" s="145">
        <v>10240.66</v>
      </c>
      <c r="T54" s="501"/>
      <c r="U54" s="501"/>
    </row>
    <row r="55" spans="1:21" ht="13.5">
      <c r="A55" s="519"/>
      <c r="B55" s="146"/>
      <c r="C55" s="512" t="s">
        <v>113</v>
      </c>
      <c r="D55" s="512"/>
      <c r="E55" s="512"/>
      <c r="F55" s="512"/>
      <c r="G55" s="512"/>
      <c r="H55" s="512"/>
      <c r="I55" s="512"/>
      <c r="J55" s="512"/>
      <c r="K55" s="512"/>
      <c r="L55" s="512"/>
      <c r="M55" s="512"/>
      <c r="N55" s="512"/>
      <c r="O55" s="512"/>
      <c r="P55" s="512"/>
      <c r="Q55" s="512"/>
      <c r="R55" s="303"/>
      <c r="S55" s="145">
        <f>S54-S53</f>
        <v>696.6599999999999</v>
      </c>
      <c r="T55" s="501"/>
      <c r="U55" s="501"/>
    </row>
    <row r="56" spans="1:19" ht="12.75">
      <c r="A56" s="128"/>
      <c r="B56" s="128"/>
      <c r="C56" s="129"/>
      <c r="D56" s="514"/>
      <c r="E56" s="514"/>
      <c r="F56" s="120"/>
      <c r="G56" s="120"/>
      <c r="H56" s="120"/>
      <c r="I56" s="120"/>
      <c r="J56" s="120"/>
      <c r="K56" s="130"/>
      <c r="L56" s="130"/>
      <c r="M56" s="130"/>
      <c r="N56" s="130"/>
      <c r="O56" s="128"/>
      <c r="P56" s="124"/>
      <c r="Q56" s="151"/>
      <c r="R56" s="151"/>
      <c r="S56" s="151"/>
    </row>
    <row r="57" spans="3:16" ht="12.75">
      <c r="C57" s="120" t="s">
        <v>16</v>
      </c>
      <c r="D57" s="120"/>
      <c r="E57" s="121"/>
      <c r="F57" s="121"/>
      <c r="G57" s="120"/>
      <c r="H57" s="120"/>
      <c r="I57" s="120"/>
      <c r="J57" s="508" t="s">
        <v>123</v>
      </c>
      <c r="K57" s="508"/>
      <c r="L57" s="508"/>
      <c r="M57" s="508"/>
      <c r="N57" s="120"/>
      <c r="P57" s="124"/>
    </row>
    <row r="58" spans="3:16" ht="12.75">
      <c r="C58" s="122"/>
      <c r="D58" s="120"/>
      <c r="E58" s="509" t="s">
        <v>17</v>
      </c>
      <c r="F58" s="509"/>
      <c r="G58" s="120"/>
      <c r="H58" s="120"/>
      <c r="I58" s="120"/>
      <c r="J58" s="120"/>
      <c r="K58" s="120"/>
      <c r="L58" s="120" t="s">
        <v>18</v>
      </c>
      <c r="M58" s="123"/>
      <c r="P58" s="124"/>
    </row>
    <row r="59" spans="3:16" ht="12.75">
      <c r="C59" s="96" t="s">
        <v>19</v>
      </c>
      <c r="D59" s="96"/>
      <c r="E59" s="153"/>
      <c r="F59" s="154"/>
      <c r="G59" s="96"/>
      <c r="H59" s="96"/>
      <c r="I59" s="96"/>
      <c r="J59" s="508" t="s">
        <v>195</v>
      </c>
      <c r="K59" s="508"/>
      <c r="L59" s="508"/>
      <c r="M59" s="508"/>
      <c r="N59" s="508"/>
      <c r="P59" s="124"/>
    </row>
    <row r="60" spans="5:13" ht="12.75">
      <c r="E60" s="509" t="s">
        <v>17</v>
      </c>
      <c r="F60" s="509"/>
      <c r="G60" s="120"/>
      <c r="H60" s="120"/>
      <c r="I60" s="120"/>
      <c r="J60" s="120"/>
      <c r="K60" s="120"/>
      <c r="L60" s="120"/>
      <c r="M60" s="120" t="s">
        <v>18</v>
      </c>
    </row>
  </sheetData>
  <sheetProtection/>
  <mergeCells count="76">
    <mergeCell ref="A1:C1"/>
    <mergeCell ref="M1:P1"/>
    <mergeCell ref="A2:C2"/>
    <mergeCell ref="M3:N3"/>
    <mergeCell ref="M4:N4"/>
    <mergeCell ref="D9:F9"/>
    <mergeCell ref="E11:F11"/>
    <mergeCell ref="G11:L11"/>
    <mergeCell ref="C12:D12"/>
    <mergeCell ref="E12:F12"/>
    <mergeCell ref="G12:L12"/>
    <mergeCell ref="Q12:Q13"/>
    <mergeCell ref="S12:S13"/>
    <mergeCell ref="L13:N13"/>
    <mergeCell ref="B14:E14"/>
    <mergeCell ref="A17:B17"/>
    <mergeCell ref="D17:D20"/>
    <mergeCell ref="E17:S17"/>
    <mergeCell ref="A18:A20"/>
    <mergeCell ref="E18:P18"/>
    <mergeCell ref="Q18:Q20"/>
    <mergeCell ref="R18:R20"/>
    <mergeCell ref="H19:H20"/>
    <mergeCell ref="I19:I20"/>
    <mergeCell ref="J19:J20"/>
    <mergeCell ref="K19:K20"/>
    <mergeCell ref="L19:L20"/>
    <mergeCell ref="M19:M20"/>
    <mergeCell ref="N19:N20"/>
    <mergeCell ref="O19:O20"/>
    <mergeCell ref="P19:P20"/>
    <mergeCell ref="A22:S22"/>
    <mergeCell ref="T24:U27"/>
    <mergeCell ref="C31:Q31"/>
    <mergeCell ref="S18:S20"/>
    <mergeCell ref="E19:E20"/>
    <mergeCell ref="F19:F20"/>
    <mergeCell ref="G19:G20"/>
    <mergeCell ref="C32:Q32"/>
    <mergeCell ref="J34:M34"/>
    <mergeCell ref="E35:F35"/>
    <mergeCell ref="C38:D39"/>
    <mergeCell ref="J38:M38"/>
    <mergeCell ref="E39:F39"/>
    <mergeCell ref="G44:O44"/>
    <mergeCell ref="C45:S45"/>
    <mergeCell ref="A47:B47"/>
    <mergeCell ref="D47:D50"/>
    <mergeCell ref="E47:S47"/>
    <mergeCell ref="A48:A50"/>
    <mergeCell ref="E48:P48"/>
    <mergeCell ref="Q48:Q50"/>
    <mergeCell ref="R48:R50"/>
    <mergeCell ref="S48:S50"/>
    <mergeCell ref="E49:E50"/>
    <mergeCell ref="F49:F50"/>
    <mergeCell ref="G49:G50"/>
    <mergeCell ref="H49:H50"/>
    <mergeCell ref="I49:I50"/>
    <mergeCell ref="J49:J50"/>
    <mergeCell ref="K49:K50"/>
    <mergeCell ref="L49:L50"/>
    <mergeCell ref="M49:M50"/>
    <mergeCell ref="N49:N50"/>
    <mergeCell ref="O49:O50"/>
    <mergeCell ref="P49:P50"/>
    <mergeCell ref="J57:M57"/>
    <mergeCell ref="E58:F58"/>
    <mergeCell ref="J59:N59"/>
    <mergeCell ref="E60:F60"/>
    <mergeCell ref="T49:U55"/>
    <mergeCell ref="A51:S51"/>
    <mergeCell ref="A52:A55"/>
    <mergeCell ref="C54:Q54"/>
    <mergeCell ref="C55:Q55"/>
    <mergeCell ref="D56:E5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Секретарь</dc:creator>
  <cp:keywords/>
  <dc:description/>
  <cp:lastModifiedBy>Секретарь</cp:lastModifiedBy>
  <cp:lastPrinted>2016-01-22T02:41:11Z</cp:lastPrinted>
  <dcterms:created xsi:type="dcterms:W3CDTF">2014-07-26T06:49:00Z</dcterms:created>
  <dcterms:modified xsi:type="dcterms:W3CDTF">2016-01-27T03:33:52Z</dcterms:modified>
  <cp:category/>
  <cp:version/>
  <cp:contentType/>
  <cp:contentStatus/>
</cp:coreProperties>
</file>